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etunjuk" sheetId="1" state="visible" r:id="rId3"/>
    <sheet name="Asumsi" sheetId="2" state="visible" r:id="rId4"/>
    <sheet name="Proyeksi" sheetId="3" state="visible" r:id="rId5"/>
    <sheet name="Sensitivitas" sheetId="4" state="visible" r:id="rId6"/>
    <sheet name="Laporan 2" sheetId="5" state="visible" r:id="rId7"/>
  </sheets>
  <definedNames>
    <definedName function="false" hidden="false" name="BatasOmzet31E" vbProcedure="false">Asumsi!$B$20</definedName>
    <definedName function="false" hidden="false" name="BiayaOrang" vbProcedure="false">Asumsi!$B$13</definedName>
    <definedName function="false" hidden="false" name="CadanganBulan" vbProcedure="false">Asumsi!$B$11</definedName>
    <definedName function="false" hidden="false" name="Capex" vbProcedure="false">Asumsi!$B$64</definedName>
    <definedName function="false" hidden="false" name="Diskonto" vbProcedure="false">Asumsi!$B$10</definedName>
    <definedName function="false" hidden="false" name="Harga" vbProcedure="false">Asumsi!$B$4</definedName>
    <definedName function="false" hidden="false" name="HPP" vbProcedure="false">Asumsi!$B$5</definedName>
    <definedName function="false" hidden="false" name="Implementasi" vbProcedure="false">Asumsi!$B$9</definedName>
    <definedName function="false" hidden="false" name="Iuran" vbProcedure="false">Asumsi!$B$56</definedName>
    <definedName function="false" hidden="false" name="Kurs" vbProcedure="false">Asumsi!$B$15</definedName>
    <definedName function="false" hidden="false" name="LamaDev" vbProcedure="false">Asumsi!$B$14</definedName>
    <definedName function="false" hidden="false" name="Lisensi" vbProcedure="false">Asumsi!$B$8</definedName>
    <definedName function="false" hidden="false" name="MasaAmortisasi" vbProcedure="false">Asumsi!$B$21</definedName>
    <definedName function="false" hidden="false" name="Omzet31E" vbProcedure="false">Asumsi!$B$19</definedName>
    <definedName function="false" hidden="false" name="Penggantian" vbProcedure="false">Asumsi!$B$7</definedName>
    <definedName function="false" hidden="false" name="Potongan31E" vbProcedure="false">Asumsi!$B$18</definedName>
    <definedName function="false" hidden="false" name="TarifPPh" vbProcedure="false">Asumsi!$B$17</definedName>
    <definedName function="false" hidden="false" name="TimGaji" vbProcedure="false">Asumsi!$C$42:$C$45</definedName>
    <definedName function="false" hidden="false" name="TimInti" vbProcedure="false">Asumsi!$B$12</definedName>
    <definedName function="false" hidden="false" name="TimJumlah" vbProcedure="false">Asumsi!$B$42:$B$45</definedName>
    <definedName function="false" hidden="false" name="UkuranKlien" vbProcedure="false">Asumsi!$B$6</definedName>
    <definedName function="false" hidden="false" name="UMK" vbProcedure="false">Asumsi!$B$16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<sst xmlns="http://schemas.openxmlformats.org/spreadsheetml/2006/main" count="367" uniqueCount="283">
  <si>
    <t xml:space="preserve">Model Finansial: Studi Potensi Pasar Produk Berbasis Java Card</t>
  </si>
  <si>
    <t xml:space="preserve">Disusun untuk Institut Teknologi Bandung oleh Albertus Anugerah Pekerti. Versi 2.3, Oktober 2026.</t>
  </si>
  <si>
    <t xml:space="preserve">Cara memakai</t>
  </si>
  <si>
    <t xml:space="preserve">1. Ubah sel biru di sheet Asumsi, termasuk gaji per peran. Proyeksi, indikator, dan skenario dihitung ulang otomatis.</t>
  </si>
  <si>
    <t xml:space="preserve">2. Proyeksi: arus kas 5 tahun, NPV, IRR, payback, kebutuhan modal, BEP, dan PPh badan (Laporan 1, Bagian 5).</t>
  </si>
  <si>
    <t xml:space="preserve">3. Sensitivitas: skenario Bagian 5.7, dihitung dengan pengali terhadap asumsi dasar.</t>
  </si>
  <si>
    <t xml:space="preserve">4. Laporan 2: model ilustratif 3 tahun untuk teknologi tim; ganti angkanya setelah pemaparan tim teknis.</t>
  </si>
  <si>
    <t xml:space="preserve">Kode warna</t>
  </si>
  <si>
    <t xml:space="preserve">Biru: input yang boleh diubah</t>
  </si>
  <si>
    <t xml:space="preserve">Hitam: rumus</t>
  </si>
  <si>
    <t xml:space="preserve">Hijau: tautan dari sheet lain</t>
  </si>
  <si>
    <t xml:space="preserve">Latar kuning: asumsi kunci yang paling lemah dan harus divalidasi</t>
  </si>
  <si>
    <t xml:space="preserve">Uang dalam Rp juta kecuali disebut lain. Indikator Laporan 1 tersedia sebelum dan setelah PPh badan (sheet Proyeksi baris 36 ke bawah).</t>
  </si>
  <si>
    <t xml:space="preserve">Ringkasan hasil (skenario dasar)</t>
  </si>
  <si>
    <t xml:space="preserve">Indikator</t>
  </si>
  <si>
    <t xml:space="preserve">Nilai</t>
  </si>
  <si>
    <t xml:space="preserve">Keterangan</t>
  </si>
  <si>
    <t xml:space="preserve">Laporan 1: NPV (Rp juta)</t>
  </si>
  <si>
    <t xml:space="preserve">Tingkat diskonto 12%, horizon 5 tahun penjualan</t>
  </si>
  <si>
    <t xml:space="preserve">Laporan 1: IRR</t>
  </si>
  <si>
    <t xml:space="preserve">Laporan 1: NPV setelah pajak (Rp juta)</t>
  </si>
  <si>
    <t xml:space="preserve">PPh badan untuk PT: 22% dengan fasilitas Pasal 31E</t>
  </si>
  <si>
    <t xml:space="preserve">Laporan 1: IRR setelah pajak</t>
  </si>
  <si>
    <t xml:space="preserve">Laporan 1: payback</t>
  </si>
  <si>
    <t xml:space="preserve">Dihitung sejak peluncuran (akhir tahun pengembangan)</t>
  </si>
  <si>
    <t xml:space="preserve">Laporan 1: kebutuhan modal (Rp juta)</t>
  </si>
  <si>
    <t xml:space="preserve">Investasi awal + rugi tahun 1 + cadangan kas</t>
  </si>
  <si>
    <t xml:space="preserve">Laporan 2: NPV (Rp juta, ilustratif)</t>
  </si>
  <si>
    <t xml:space="preserve">Horizon 3 tahun</t>
  </si>
  <si>
    <t xml:space="preserve">Laporan 2: payback (ilustratif)</t>
  </si>
  <si>
    <t xml:space="preserve">Asumsi Laporan 1 (ubah sel biru)</t>
  </si>
  <si>
    <t xml:space="preserve">Uang dalam Rp juta kecuali disebut lain. Sumber lengkap: Laporan 1, Bagian 5.2 (Register Asumsi).</t>
  </si>
  <si>
    <t xml:space="preserve">Asumsi</t>
  </si>
  <si>
    <t xml:space="preserve">Satuan</t>
  </si>
  <si>
    <t xml:space="preserve">Kekuatan</t>
  </si>
  <si>
    <t xml:space="preserve">Dasar / sumber</t>
  </si>
  <si>
    <t xml:space="preserve">Harga jual per kartu</t>
  </si>
  <si>
    <t xml:space="preserve">Rp</t>
  </si>
  <si>
    <t xml:space="preserve">Lemah</t>
  </si>
  <si>
    <t xml:space="preserve">Margin kontribusi 2x HPP; di antara kartu MIFARE cetak (Rp 6.500 sampai 12.000) dan token FIDO2 (mulai Rp 670.000), serta di bawah HID iCLASS Seos (± Rp 105.000 eceran). Harga minimal yang masih layak ± Rp 75.000.</t>
  </si>
  <si>
    <t xml:space="preserve">HPP per kartu</t>
  </si>
  <si>
    <t xml:space="preserve">Kartu JCOP4 US$2,20 pada 10.000 kartu ke atas (Mingwah Aohan di Alibaba; tampil Rp 40.616 dengan gratis ongkos kirim) x kurs, ditambah cetak dan personalisasi ± Rp 2.500 serta kirim dan penanganan ± Rp 3.000. Ganti dengan penawaran distributor resmi.</t>
  </si>
  <si>
    <t xml:space="preserve">Ukuran rata-rata klien</t>
  </si>
  <si>
    <t xml:space="preserve">orang</t>
  </si>
  <si>
    <t xml:space="preserve">Asumsi organisasi menengah sampai besar; organisasi kecil cenderung memilih kartu MIFARE.</t>
  </si>
  <si>
    <t xml:space="preserve">Penggantian kartu klien lama</t>
  </si>
  <si>
    <t xml:space="preserve">per tahun</t>
  </si>
  <si>
    <t xml:space="preserve">Sedang</t>
  </si>
  <si>
    <t xml:space="preserve">Kartu hilang atau rusak, pegawai dan mahasiswa baru.</t>
  </si>
  <si>
    <t xml:space="preserve">Lisensi platform per klien</t>
  </si>
  <si>
    <t xml:space="preserve">Rp juta per tahun</t>
  </si>
  <si>
    <t xml:space="preserve">Setara Rp 10.000 per orang per tahun untuk klien 5.000 orang.</t>
  </si>
  <si>
    <t xml:space="preserve">Jasa implementasi per klien baru</t>
  </si>
  <si>
    <t xml:space="preserve">Rp juta</t>
  </si>
  <si>
    <t xml:space="preserve">Integrasi pintu, absensi, dan login; asumsi.</t>
  </si>
  <si>
    <t xml:space="preserve">Tingkat diskonto</t>
  </si>
  <si>
    <t xml:space="preserve">BI-Rate 5,75% (RDG Bank Indonesia 20-21 Oktober 2026) ditambah premi risiko proyek ± 6%.</t>
  </si>
  <si>
    <t xml:space="preserve">Cadangan kas</t>
  </si>
  <si>
    <t xml:space="preserve">bulan opex tahun 1</t>
  </si>
  <si>
    <t xml:space="preserve">Penyangga arus kas saat penjualan belum stabil.</t>
  </si>
  <si>
    <t xml:space="preserve">Tim inti pengembangan</t>
  </si>
  <si>
    <t xml:space="preserve">Jumlah dari tabel Tim inti dan gaji di bawah.</t>
  </si>
  <si>
    <t xml:space="preserve">Biaya per orang (fully loaded)</t>
  </si>
  <si>
    <t xml:space="preserve">Rp juta per bulan</t>
  </si>
  <si>
    <t xml:space="preserve">Rata-rata tertimbang gaji bruto tim di Bandung (tabel di bawah) ditambah iuran BPJS pemberi kerja dan THR. Biaya kantor tidak dihitung di sini karena sudah ada di biaya non-staf.</t>
  </si>
  <si>
    <t xml:space="preserve">Lama pengembangan</t>
  </si>
  <si>
    <t xml:space="preserve">bulan</t>
  </si>
  <si>
    <t xml:space="preserve">Penilaian penyusun. Mencakup beberapa applet, platform manajemen kartu dengan PKI, integrasi pembaca pintu dan login PC, uji keamanan pihak ketiga, dan persiapan pilot. Pembanding: satu aplikasi Java Card ± 2 bulan (Bouzefrane, CNAM); portal penerbitan token Cisco 4 bulan oleh 2 orang di atas PKI yang sudah ada. Applet open-source (FIDO2Applet, OpenFIPS201) bisa mempersingkat. Skenario 9 dan 18 bulan ada di sheet Sensitivitas.</t>
  </si>
  <si>
    <t xml:space="preserve">Kurs (informasi)</t>
  </si>
  <si>
    <t xml:space="preserve">Rp per US$</t>
  </si>
  <si>
    <t xml:space="preserve">JISDOR Rp 18.069 (23 Oktober 2026); dipakai saat menurunkan HPP dari harga dolar.</t>
  </si>
  <si>
    <t xml:space="preserve">UMK Kota Bandung 2026 (informasi)</t>
  </si>
  <si>
    <t xml:space="preserve">Kuat</t>
  </si>
  <si>
    <t xml:space="preserve">Keputusan Gubernur Jawa Barat No. 561/Kep.862-Kesra/2025: Rp 4.737.678. Dipakai untuk skenario batas bawah biaya tim di sheet Sensitivitas.</t>
  </si>
  <si>
    <t xml:space="preserve">Tarif PPh badan</t>
  </si>
  <si>
    <t xml:space="preserve">dari laba kena pajak</t>
  </si>
  <si>
    <t xml:space="preserve">UU No. 7/2021 (HPP); Pasal 17 ayat (1) huruf b UU PPh: 22% sejak tahun pajak 2022. Model mengasumsikan komersialisasi lewat PT; PPh final 0,5% tidak berlaku untuk PT menurut PP 20/2026.</t>
  </si>
  <si>
    <t xml:space="preserve">Pengurangan tarif Pasal 31E</t>
  </si>
  <si>
    <t xml:space="preserve">dari tarif</t>
  </si>
  <si>
    <t xml:space="preserve">Pasal 31E UU PPh: tarif dikurangi 50% untuk bagian laba kena pajak dari omzet sampai Rp 4,8 miliar, bagi badan dengan omzet setahun sampai Rp 50 miliar.</t>
  </si>
  <si>
    <t xml:space="preserve">Batas omzet bagian yang mendapat fasilitas</t>
  </si>
  <si>
    <t xml:space="preserve">Pasal 31E UU PPh.</t>
  </si>
  <si>
    <t xml:space="preserve">Batas omzet penerima fasilitas</t>
  </si>
  <si>
    <t xml:space="preserve">Masa amortisasi investasi awal</t>
  </si>
  <si>
    <t xml:space="preserve">tahun</t>
  </si>
  <si>
    <t xml:space="preserve">PMK 72/2023: harta tak berwujud kelompok 1 (termasuk perangkat lunak khusus) 4 tahun, garis lurus 25% per tahun, mulai bulan pengeluaran. Rugi fiskal dikompensasikan sampai 5 tahun (Pasal 6 ayat 2 UU PPh).</t>
  </si>
  <si>
    <t xml:space="preserve">Asumsi per tahun</t>
  </si>
  <si>
    <t xml:space="preserve">Tahun</t>
  </si>
  <si>
    <t xml:space="preserve">Klien baru (organisasi)</t>
  </si>
  <si>
    <t xml:space="preserve">Opex (Rp juta)</t>
  </si>
  <si>
    <t xml:space="preserve">Th 1</t>
  </si>
  <si>
    <t xml:space="preserve">Th 2</t>
  </si>
  <si>
    <t xml:space="preserve">Th 3</t>
  </si>
  <si>
    <t xml:space="preserve">Th 4</t>
  </si>
  <si>
    <t xml:space="preserve">Th 5</t>
  </si>
  <si>
    <t xml:space="preserve">Klien baru: kumulatif 40 klien = 7% dari 561 organisasi sasaran (Laporan 1, Bagian 3.5). Opex = staf x biaya per orang x 12 + biaya non-staf (tabel di bawah).</t>
  </si>
  <si>
    <t xml:space="preserve">Staf (orang)</t>
  </si>
  <si>
    <t xml:space="preserve">Biaya non-staf (Rp juta)</t>
  </si>
  <si>
    <t xml:space="preserve">Staf: tim inti 5 orang, ditambah 1 staf support atau penjualan per tahun. Biaya non-staf: penjualan dan pemasaran, kantor, cloud, dan legal (tahun 1: Rp 300 juta + Rp 200 juta); naik seiring jumlah klien.</t>
  </si>
  <si>
    <t xml:space="preserve">Tim inti dan gaji (Bandung, gaji bruto per bulan)</t>
  </si>
  <si>
    <t xml:space="preserve">Peran</t>
  </si>
  <si>
    <t xml:space="preserve">Jumlah</t>
  </si>
  <si>
    <t xml:space="preserve">Gaji bruto (Rp juta/bulan)</t>
  </si>
  <si>
    <t xml:space="preserve">Java Card developer</t>
  </si>
  <si>
    <t xml:space="preserve">Keahlian langka; di atas rata-rata gaji pokok software engineer di Jawa Rp 11,7 juta (Indeed, Oktober 2026), masih dalam rentang Bandung Rp 4,8 sampai 28,3 juta (Indeed).</t>
  </si>
  <si>
    <t xml:space="preserve">Backend developer</t>
  </si>
  <si>
    <t xml:space="preserve">Antara gaji umum software engineer Rp 7,5 juta (Jobstreet) dan rata-rata gaji pokok di Jawa Rp 11,7 juta (Indeed).</t>
  </si>
  <si>
    <t xml:space="preserve">Security engineer</t>
  </si>
  <si>
    <t xml:space="preserve">Data publik untuk Bandung minim; disetarakan dengan Java Card developer.</t>
  </si>
  <si>
    <t xml:space="preserve">Product / project manager</t>
  </si>
  <si>
    <t xml:space="preserve">Gaji umum product manager Rp 12,5 juta dan program manager Rp 13,5 juta (Jobstreet).</t>
  </si>
  <si>
    <t xml:space="preserve">Rata-rata gaji bruto (tertimbang)</t>
  </si>
  <si>
    <t xml:space="preserve">Iuran pemberi kerja dan THR (persen gaji)</t>
  </si>
  <si>
    <t xml:space="preserve">Komponen</t>
  </si>
  <si>
    <t xml:space="preserve">Tarif</t>
  </si>
  <si>
    <t xml:space="preserve">JHT (Jaminan Hari Tua)</t>
  </si>
  <si>
    <t xml:space="preserve">BPJS Ketenagakerjaan, porsi pemberi kerja (PP 82/2019; Liputan6).</t>
  </si>
  <si>
    <t xml:space="preserve">JP (Jaminan Pensiun)</t>
  </si>
  <si>
    <t xml:space="preserve">BPJS Ketenagakerjaan, porsi pemberi kerja.</t>
  </si>
  <si>
    <t xml:space="preserve">JKK (Jaminan Kecelakaan Kerja)</t>
  </si>
  <si>
    <t xml:space="preserve">Kelompok risiko sangat rendah (0,24% sampai 1,74% sesuai risiko).</t>
  </si>
  <si>
    <t xml:space="preserve">JKM (Jaminan Kematian)</t>
  </si>
  <si>
    <t xml:space="preserve">Ditanggung penuh pemberi kerja.</t>
  </si>
  <si>
    <t xml:space="preserve">BPJS Kesehatan</t>
  </si>
  <si>
    <t xml:space="preserve">Perpres 64/2020 Pasal 30: 5% gaji, 4% dibayar pemberi kerja (Bisnis.com).</t>
  </si>
  <si>
    <t xml:space="preserve">THR</t>
  </si>
  <si>
    <t xml:space="preserve">Satu bulan gaji per tahun untuk masa kerja 12 bulan atau lebih (Permenaker 6/2016; Hukumonline).</t>
  </si>
  <si>
    <t xml:space="preserve">Total iuran dan THR</t>
  </si>
  <si>
    <t xml:space="preserve">Tanpa memperhitungkan batas upah BPJS, sehingga sedikit konservatif untuk gaji di atas Rp 11 sampai 12 juta.</t>
  </si>
  <si>
    <t xml:space="preserve">Investasi awal, tahun 0 (Rp juta)</t>
  </si>
  <si>
    <t xml:space="preserve">Item</t>
  </si>
  <si>
    <t xml:space="preserve">Pengembangan applet dan platform</t>
  </si>
  <si>
    <t xml:space="preserve">Tim inti x biaya per orang x lama pengembangan.</t>
  </si>
  <si>
    <t xml:space="preserve">Peralatan uji dan kartu developer</t>
  </si>
  <si>
    <t xml:space="preserve">Asumsi.</t>
  </si>
  <si>
    <t xml:space="preserve">Uji keamanan pihak ketiga</t>
  </si>
  <si>
    <t xml:space="preserve">Asumsi; minta penawaran lab.</t>
  </si>
  <si>
    <t xml:space="preserve">Legal, lisensi, sertifikasi ringan</t>
  </si>
  <si>
    <t xml:space="preserve">Total investasi awal</t>
  </si>
  <si>
    <t xml:space="preserve">Proyeksi arus kas produk P1 (Rp juta)</t>
  </si>
  <si>
    <t xml:space="preserve">Semua sel berisi rumus dari sheet Asumsi. Th 0 = tahun pengembangan; penjualan mulai Th 1.</t>
  </si>
  <si>
    <t xml:space="preserve">Th 0</t>
  </si>
  <si>
    <t xml:space="preserve">Klien baru</t>
  </si>
  <si>
    <t xml:space="preserve">Klien aktif (kumulatif)</t>
  </si>
  <si>
    <t xml:space="preserve">Kartu terjual (unit)</t>
  </si>
  <si>
    <t xml:space="preserve">Pendapatan kartu</t>
  </si>
  <si>
    <t xml:space="preserve">Pendapatan lisensi</t>
  </si>
  <si>
    <t xml:space="preserve">Pendapatan implementasi</t>
  </si>
  <si>
    <t xml:space="preserve">Total pendapatan</t>
  </si>
  <si>
    <t xml:space="preserve">HPP kartu</t>
  </si>
  <si>
    <t xml:space="preserve">Laba kotor</t>
  </si>
  <si>
    <t xml:space="preserve">Opex</t>
  </si>
  <si>
    <t xml:space="preserve">Investasi</t>
  </si>
  <si>
    <t xml:space="preserve">Arus kas bersih</t>
  </si>
  <si>
    <t xml:space="preserve">Kas kumulatif</t>
  </si>
  <si>
    <t xml:space="preserve">Indikator (sebelum pajak)</t>
  </si>
  <si>
    <t xml:space="preserve">NPV (Rp juta)</t>
  </si>
  <si>
    <t xml:space="preserve">IRR</t>
  </si>
  <si>
    <t xml:space="preserve">Payback (tahun setelah peluncuran)</t>
  </si>
  <si>
    <t xml:space="preserve">Bantu: indeks tahun</t>
  </si>
  <si>
    <t xml:space="preserve">Bantu: titik impas per tahun</t>
  </si>
  <si>
    <t xml:space="preserve">Kas terendah (Rp juta)</t>
  </si>
  <si>
    <t xml:space="preserve">Rugi operasi tahun 1 (Rp juta)</t>
  </si>
  <si>
    <t xml:space="preserve">Cadangan kas (Rp juta)</t>
  </si>
  <si>
    <t xml:space="preserve">Kebutuhan modal (Rp juta)</t>
  </si>
  <si>
    <t xml:space="preserve">Titik impas operasional (BEP)</t>
  </si>
  <si>
    <t xml:space="preserve">Margin kontribusi per kartu (Rp)</t>
  </si>
  <si>
    <t xml:space="preserve">Kartu yang dibutuhkan untuk BEP (unit)</t>
  </si>
  <si>
    <t xml:space="preserve">Proyeksi kartu terjual (unit)</t>
  </si>
  <si>
    <t xml:space="preserve">Status</t>
  </si>
  <si>
    <t xml:space="preserve">Pajak penghasilan badan (bentuk PT, tarif umum dengan fasilitas Pasal 31E)</t>
  </si>
  <si>
    <t xml:space="preserve">Investasi awal diamortisasi mulai tahun pengeluaran (PMK 72/2023); rugi fiskal dikompensasikan sampai 5 tahun (Pasal 6 ayat 2 UU PPh); PPh dianggap dibayar pada tahun yang sama. PPN dipungut dari pembeli dan tidak dihitung.</t>
  </si>
  <si>
    <t xml:space="preserve">Laba sebelum amortisasi</t>
  </si>
  <si>
    <t xml:space="preserve">Amortisasi investasi awal</t>
  </si>
  <si>
    <t xml:space="preserve">Laba fiskal</t>
  </si>
  <si>
    <t xml:space="preserve">Sisa rugi fiskal awal tahun</t>
  </si>
  <si>
    <t xml:space="preserve">Penghasilan kena pajak</t>
  </si>
  <si>
    <t xml:space="preserve">Sisa rugi fiskal akhir tahun</t>
  </si>
  <si>
    <t xml:space="preserve">Omzet (peredaran bruto)</t>
  </si>
  <si>
    <t xml:space="preserve">Tarif efektif (Pasal 31E)</t>
  </si>
  <si>
    <t xml:space="preserve">PPh badan</t>
  </si>
  <si>
    <t xml:space="preserve">Arus kas setelah pajak</t>
  </si>
  <si>
    <t xml:space="preserve">Kas kumulatif setelah pajak</t>
  </si>
  <si>
    <t xml:space="preserve">Indikator setelah pajak</t>
  </si>
  <si>
    <t xml:space="preserve">NPV setelah pajak (Rp juta)</t>
  </si>
  <si>
    <t xml:space="preserve">IRR setelah pajak</t>
  </si>
  <si>
    <t xml:space="preserve">Payback setelah pajak (tahun setelah peluncuran)</t>
  </si>
  <si>
    <t xml:space="preserve">Total PPh badan 5 tahun (Rp juta)</t>
  </si>
  <si>
    <t xml:space="preserve">Bantu: titik impas setelah pajak</t>
  </si>
  <si>
    <t xml:space="preserve">Analisis sensitivitas Laporan 1 (Bagian 5.7)</t>
  </si>
  <si>
    <t xml:space="preserve">Setiap skenario mengalikan asumsi dasar dengan pengali di kolom B sampai E, memakai lama pengembangan di kolom F dan biaya per orang di kolom H. NPV setelah pajak memakai aturan PPh badan di sheet Proyeksi. Sel biru boleh diubah. Kolom U ke kanan adalah perhitungan bantu (dikelompokkan).</t>
  </si>
  <si>
    <t xml:space="preserve">Indeks tahun sebelumnya</t>
  </si>
  <si>
    <t xml:space="preserve">Tanggal acuan XIRR</t>
  </si>
  <si>
    <t xml:space="preserve">Skenario</t>
  </si>
  <si>
    <t xml:space="preserve">Pengali harga</t>
  </si>
  <si>
    <t xml:space="preserve">Pengali HPP</t>
  </si>
  <si>
    <t xml:space="preserve">Pengali klien baru</t>
  </si>
  <si>
    <t xml:space="preserve">Pengali opex</t>
  </si>
  <si>
    <t xml:space="preserve">Lama pengembangan (bulan)</t>
  </si>
  <si>
    <t xml:space="preserve">Geser penjualan (tahun)</t>
  </si>
  <si>
    <t xml:space="preserve">Biaya per orang (Rp juta/bulan)</t>
  </si>
  <si>
    <t xml:space="preserve">Arus kas Th 0</t>
  </si>
  <si>
    <t xml:space="preserve">Arus kas Th 1</t>
  </si>
  <si>
    <t xml:space="preserve">Arus kas Th 2</t>
  </si>
  <si>
    <t xml:space="preserve">Arus kas Th 3</t>
  </si>
  <si>
    <t xml:space="preserve">Arus kas Th 4</t>
  </si>
  <si>
    <t xml:space="preserve">Arus kas Th 5</t>
  </si>
  <si>
    <t xml:space="preserve">NPV (12%)</t>
  </si>
  <si>
    <t xml:space="preserve">NPV setelah pajak</t>
  </si>
  <si>
    <t xml:space="preserve">Payback</t>
  </si>
  <si>
    <t xml:space="preserve">Kas terendah</t>
  </si>
  <si>
    <t xml:space="preserve">Kebutuhan modal</t>
  </si>
  <si>
    <t xml:space="preserve">Kumulatif Th 0</t>
  </si>
  <si>
    <t xml:space="preserve">Kumulatif Th 1</t>
  </si>
  <si>
    <t xml:space="preserve">Kumulatif Th 2</t>
  </si>
  <si>
    <t xml:space="preserve">Kumulatif Th 3</t>
  </si>
  <si>
    <t xml:space="preserve">Kumulatif Th 4</t>
  </si>
  <si>
    <t xml:space="preserve">Kumulatif Th 5</t>
  </si>
  <si>
    <t xml:space="preserve">Bantu Th 1</t>
  </si>
  <si>
    <t xml:space="preserve">Bantu Th 2</t>
  </si>
  <si>
    <t xml:space="preserve">Bantu Th 3</t>
  </si>
  <si>
    <t xml:space="preserve">Bantu Th 4</t>
  </si>
  <si>
    <t xml:space="preserve">Bantu Th 5</t>
  </si>
  <si>
    <t xml:space="preserve">Tanggal Th 0</t>
  </si>
  <si>
    <t xml:space="preserve">Tanggal Th 1</t>
  </si>
  <si>
    <t xml:space="preserve">Tanggal Th 2</t>
  </si>
  <si>
    <t xml:space="preserve">Tanggal Th 3</t>
  </si>
  <si>
    <t xml:space="preserve">Tanggal Th 4</t>
  </si>
  <si>
    <t xml:space="preserve">Tanggal Th 5</t>
  </si>
  <si>
    <t xml:space="preserve">Omzet Th 1</t>
  </si>
  <si>
    <t xml:space="preserve">Omzet Th 2</t>
  </si>
  <si>
    <t xml:space="preserve">Omzet Th 3</t>
  </si>
  <si>
    <t xml:space="preserve">Omzet Th 4</t>
  </si>
  <si>
    <t xml:space="preserve">Omzet Th 5</t>
  </si>
  <si>
    <t xml:space="preserve">Laba fiskal Th 0</t>
  </si>
  <si>
    <t xml:space="preserve">Laba fiskal Th 1</t>
  </si>
  <si>
    <t xml:space="preserve">Laba fiskal Th 2</t>
  </si>
  <si>
    <t xml:space="preserve">Laba fiskal Th 3</t>
  </si>
  <si>
    <t xml:space="preserve">Laba fiskal Th 4</t>
  </si>
  <si>
    <t xml:space="preserve">Laba fiskal Th 5</t>
  </si>
  <si>
    <t xml:space="preserve">Sisa rugi Th 0</t>
  </si>
  <si>
    <t xml:space="preserve">Sisa rugi Th 1</t>
  </si>
  <si>
    <t xml:space="preserve">Sisa rugi Th 2</t>
  </si>
  <si>
    <t xml:space="preserve">Sisa rugi Th 3</t>
  </si>
  <si>
    <t xml:space="preserve">Sisa rugi Th 4</t>
  </si>
  <si>
    <t xml:space="preserve">Sisa rugi Th 5</t>
  </si>
  <si>
    <t xml:space="preserve">PPh Th 1</t>
  </si>
  <si>
    <t xml:space="preserve">PPh Th 2</t>
  </si>
  <si>
    <t xml:space="preserve">PPh Th 3</t>
  </si>
  <si>
    <t xml:space="preserve">PPh Th 4</t>
  </si>
  <si>
    <t xml:space="preserve">PPh Th 5</t>
  </si>
  <si>
    <t xml:space="preserve">Arus kas setelah pajak Th 1</t>
  </si>
  <si>
    <t xml:space="preserve">Arus kas setelah pajak Th 2</t>
  </si>
  <si>
    <t xml:space="preserve">Arus kas setelah pajak Th 3</t>
  </si>
  <si>
    <t xml:space="preserve">Arus kas setelah pajak Th 4</t>
  </si>
  <si>
    <t xml:space="preserve">Arus kas setelah pajak Th 5</t>
  </si>
  <si>
    <t xml:space="preserve">Dasar (harga Rp 90.000, HPP Rp 45.000, biaya tim Rp 15,4 juta)</t>
  </si>
  <si>
    <t xml:space="preserve">Harga Rp 75.000</t>
  </si>
  <si>
    <t xml:space="preserve">Harga jual turun 20%</t>
  </si>
  <si>
    <t xml:space="preserve">Klien baru turun 30%</t>
  </si>
  <si>
    <t xml:space="preserve">HPP naik 25%</t>
  </si>
  <si>
    <t xml:space="preserve">Opex naik 20%</t>
  </si>
  <si>
    <t xml:space="preserve">Biaya tim setara level Jakarta (Rp 20 juta per orang)</t>
  </si>
  <si>
    <t xml:space="preserve">Pengembangan 18 bulan (penjualan mulai 6 bulan lebih lambat)</t>
  </si>
  <si>
    <t xml:space="preserve">Harga, klien, dan HPP meleset bersamaan</t>
  </si>
  <si>
    <t xml:space="preserve">Pengembangan 9 bulan (applet open-source; penjualan mulai 3 bulan lebih cepat)</t>
  </si>
  <si>
    <t xml:space="preserve">HPP turun ke Rp 35.000 (harga volume terbaik)</t>
  </si>
  <si>
    <t xml:space="preserve">Biaya tim setara UMK Bandung (batas bawah, tidak realistis untuk developer berpengalaman)</t>
  </si>
  <si>
    <t xml:space="preserve">Harga jual naik ke Rp 110.000</t>
  </si>
  <si>
    <t xml:space="preserve">Klien baru naik 30%</t>
  </si>
  <si>
    <t xml:space="preserve">Laporan 2: proyeksi ilustratif produk prioritas teknologi tim (3 tahun, Rp juta)</t>
  </si>
  <si>
    <t xml:space="preserve">Angka ilustratif. Ganti sel biru setelah pemaparan tim teknis (Laporan 2, Bagian 7).</t>
  </si>
  <si>
    <t xml:space="preserve">Pendapatan</t>
  </si>
  <si>
    <t xml:space="preserve">HPP</t>
  </si>
  <si>
    <t xml:space="preserve">Investasi tambahan</t>
  </si>
  <si>
    <t xml:space="preserve">Payback (tahun)</t>
  </si>
  <si>
    <t xml:space="preserve">Sensitivitas (Laporan 2, Bagian 7.4)</t>
  </si>
  <si>
    <t xml:space="preserve">Pengali pendapatan</t>
  </si>
  <si>
    <t xml:space="preserve">Pengali tahun 1</t>
  </si>
  <si>
    <t xml:space="preserve">Dasar</t>
  </si>
  <si>
    <t xml:space="preserve">Volume turun 30%</t>
  </si>
  <si>
    <t xml:space="preserve">Pilot tertunda 6 bulan</t>
  </si>
  <si>
    <t xml:space="preserve">Biaya chip naik 25%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</si>
</sst>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;\(#,##0\);\-"/>
    <numFmt numFmtId="166" formatCode="0.0%"/>
    <numFmt numFmtId="167" formatCode="0.0&quot; tahun&quot;"/>
    <numFmt numFmtId="168" formatCode="&quot;Rp &quot;#,##0"/>
    <numFmt numFmtId="169" formatCode="0"/>
    <numFmt numFmtId="170" formatCode="0.0"/>
    <numFmt numFmtId="171" formatCode="0.00"/>
    <numFmt numFmtId="172" formatCode="0.00%"/>
    <numFmt numFmtId="173" formatCode="0.00\x"/>
    <numFmt numFmtId="174" formatCode="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sz val="10"/>
      <color rgb="FF6B6B6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10"/>
      <color rgb="FF6B6B6B"/>
      <name val="Arial"/>
      <family val="0"/>
      <charset val="1"/>
    </font>
    <font>
      <b val="true"/>
      <sz val="13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0F4F8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8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8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2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2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3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4F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6" t="s">
        <v>10</v>
      </c>
    </row>
    <row r="14" customFormat="false" ht="15" hidden="false" customHeight="false" outlineLevel="0" collapsed="false">
      <c r="A14" s="7" t="s">
        <v>11</v>
      </c>
    </row>
    <row r="16" customFormat="false" ht="15" hidden="false" customHeight="false" outlineLevel="0" collapsed="false">
      <c r="A16" s="8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9" t="s">
        <v>14</v>
      </c>
      <c r="B19" s="9" t="s">
        <v>15</v>
      </c>
      <c r="C19" s="9" t="s">
        <v>16</v>
      </c>
    </row>
    <row r="20" customFormat="false" ht="15" hidden="false" customHeight="false" outlineLevel="0" collapsed="false">
      <c r="A20" s="4" t="s">
        <v>17</v>
      </c>
      <c r="B20" s="10" t="n">
        <f aca="false">Proyeksi!B19</f>
        <v>3105.01059409677</v>
      </c>
      <c r="C20" s="2" t="s">
        <v>18</v>
      </c>
    </row>
    <row r="21" customFormat="false" ht="15" hidden="false" customHeight="false" outlineLevel="0" collapsed="false">
      <c r="A21" s="4" t="s">
        <v>19</v>
      </c>
      <c r="B21" s="11" t="n">
        <f aca="false">Proyeksi!B20</f>
        <v>0.514833219753665</v>
      </c>
      <c r="C21" s="2"/>
    </row>
    <row r="22" customFormat="false" ht="15" hidden="false" customHeight="false" outlineLevel="0" collapsed="false">
      <c r="A22" s="4" t="s">
        <v>20</v>
      </c>
      <c r="B22" s="10" t="n">
        <f aca="false">Proyeksi!B52</f>
        <v>2563.42904014317</v>
      </c>
      <c r="C22" s="2" t="s">
        <v>21</v>
      </c>
    </row>
    <row r="23" customFormat="false" ht="15" hidden="false" customHeight="false" outlineLevel="0" collapsed="false">
      <c r="A23" s="4" t="s">
        <v>22</v>
      </c>
      <c r="B23" s="11" t="n">
        <f aca="false">Proyeksi!B53</f>
        <v>0.471050154324931</v>
      </c>
      <c r="C23" s="2"/>
    </row>
    <row r="24" customFormat="false" ht="15" hidden="false" customHeight="false" outlineLevel="0" collapsed="false">
      <c r="A24" s="4" t="s">
        <v>23</v>
      </c>
      <c r="B24" s="12" t="n">
        <f aca="false">Proyeksi!B21</f>
        <v>2.77976290414858</v>
      </c>
      <c r="C24" s="2" t="s">
        <v>24</v>
      </c>
    </row>
    <row r="25" customFormat="false" ht="15" hidden="false" customHeight="false" outlineLevel="0" collapsed="false">
      <c r="A25" s="4" t="s">
        <v>25</v>
      </c>
      <c r="B25" s="10" t="n">
        <f aca="false">Proyeksi!B27</f>
        <v>1835.962</v>
      </c>
      <c r="C25" s="2" t="s">
        <v>26</v>
      </c>
    </row>
    <row r="26" customFormat="false" ht="15" hidden="false" customHeight="false" outlineLevel="0" collapsed="false">
      <c r="A26" s="4" t="s">
        <v>27</v>
      </c>
      <c r="B26" s="10" t="n">
        <f aca="false">'Laporan 2'!B15</f>
        <v>1174.73760932945</v>
      </c>
      <c r="C26" s="2" t="s">
        <v>28</v>
      </c>
    </row>
    <row r="27" customFormat="false" ht="15" hidden="false" customHeight="false" outlineLevel="0" collapsed="false">
      <c r="A27" s="4" t="s">
        <v>29</v>
      </c>
      <c r="B27" s="12" t="n">
        <f aca="false">'Laporan 2'!B17</f>
        <v>1.96923076923077</v>
      </c>
      <c r="C27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90"/>
  </cols>
  <sheetData>
    <row r="1" customFormat="false" ht="16.15" hidden="false" customHeight="false" outlineLevel="0" collapsed="false">
      <c r="A1" s="13" t="s">
        <v>30</v>
      </c>
    </row>
    <row r="2" customFormat="false" ht="15" hidden="false" customHeight="false" outlineLevel="0" collapsed="false">
      <c r="A2" s="8" t="s">
        <v>31</v>
      </c>
    </row>
    <row r="3" customFormat="false" ht="15" hidden="false" customHeight="false" outlineLevel="0" collapsed="false">
      <c r="A3" s="9" t="s">
        <v>32</v>
      </c>
      <c r="B3" s="9" t="s">
        <v>15</v>
      </c>
      <c r="C3" s="9" t="s">
        <v>33</v>
      </c>
      <c r="D3" s="9" t="s">
        <v>34</v>
      </c>
      <c r="E3" s="9" t="s">
        <v>35</v>
      </c>
    </row>
    <row r="4" customFormat="false" ht="35.05" hidden="false" customHeight="false" outlineLevel="0" collapsed="false">
      <c r="A4" s="4" t="s">
        <v>36</v>
      </c>
      <c r="B4" s="14" t="n">
        <v>90000</v>
      </c>
      <c r="C4" s="4" t="s">
        <v>37</v>
      </c>
      <c r="D4" s="4" t="s">
        <v>38</v>
      </c>
      <c r="E4" s="15" t="s">
        <v>39</v>
      </c>
    </row>
    <row r="5" customFormat="false" ht="35.05" hidden="false" customHeight="false" outlineLevel="0" collapsed="false">
      <c r="A5" s="4" t="s">
        <v>40</v>
      </c>
      <c r="B5" s="14" t="n">
        <v>45000</v>
      </c>
      <c r="C5" s="4" t="s">
        <v>37</v>
      </c>
      <c r="D5" s="4" t="s">
        <v>38</v>
      </c>
      <c r="E5" s="15" t="s">
        <v>41</v>
      </c>
    </row>
    <row r="6" customFormat="false" ht="15" hidden="false" customHeight="false" outlineLevel="0" collapsed="false">
      <c r="A6" s="4" t="s">
        <v>42</v>
      </c>
      <c r="B6" s="16" t="n">
        <v>5000</v>
      </c>
      <c r="C6" s="4" t="s">
        <v>43</v>
      </c>
      <c r="D6" s="4" t="s">
        <v>38</v>
      </c>
      <c r="E6" s="15" t="s">
        <v>44</v>
      </c>
    </row>
    <row r="7" customFormat="false" ht="15" hidden="false" customHeight="false" outlineLevel="0" collapsed="false">
      <c r="A7" s="4" t="s">
        <v>45</v>
      </c>
      <c r="B7" s="17" t="n">
        <v>0.15</v>
      </c>
      <c r="C7" s="4" t="s">
        <v>46</v>
      </c>
      <c r="D7" s="4" t="s">
        <v>47</v>
      </c>
      <c r="E7" s="15" t="s">
        <v>48</v>
      </c>
    </row>
    <row r="8" customFormat="false" ht="15" hidden="false" customHeight="false" outlineLevel="0" collapsed="false">
      <c r="A8" s="4" t="s">
        <v>49</v>
      </c>
      <c r="B8" s="18" t="n">
        <v>50</v>
      </c>
      <c r="C8" s="4" t="s">
        <v>50</v>
      </c>
      <c r="D8" s="4" t="s">
        <v>38</v>
      </c>
      <c r="E8" s="15" t="s">
        <v>51</v>
      </c>
    </row>
    <row r="9" customFormat="false" ht="15" hidden="false" customHeight="false" outlineLevel="0" collapsed="false">
      <c r="A9" s="4" t="s">
        <v>52</v>
      </c>
      <c r="B9" s="18" t="n">
        <v>30</v>
      </c>
      <c r="C9" s="4" t="s">
        <v>53</v>
      </c>
      <c r="D9" s="4" t="s">
        <v>38</v>
      </c>
      <c r="E9" s="15" t="s">
        <v>54</v>
      </c>
    </row>
    <row r="10" customFormat="false" ht="15" hidden="false" customHeight="false" outlineLevel="0" collapsed="false">
      <c r="A10" s="4" t="s">
        <v>55</v>
      </c>
      <c r="B10" s="17" t="n">
        <v>0.12</v>
      </c>
      <c r="C10" s="4" t="s">
        <v>46</v>
      </c>
      <c r="D10" s="4" t="s">
        <v>47</v>
      </c>
      <c r="E10" s="15" t="s">
        <v>56</v>
      </c>
    </row>
    <row r="11" customFormat="false" ht="15" hidden="false" customHeight="false" outlineLevel="0" collapsed="false">
      <c r="A11" s="4" t="s">
        <v>57</v>
      </c>
      <c r="B11" s="19" t="n">
        <v>3</v>
      </c>
      <c r="C11" s="4" t="s">
        <v>58</v>
      </c>
      <c r="D11" s="4" t="s">
        <v>47</v>
      </c>
      <c r="E11" s="15" t="s">
        <v>59</v>
      </c>
    </row>
    <row r="12" customFormat="false" ht="15" hidden="false" customHeight="false" outlineLevel="0" collapsed="false">
      <c r="A12" s="4" t="s">
        <v>60</v>
      </c>
      <c r="B12" s="20" t="n">
        <f aca="false">SUM(TimJumlah)</f>
        <v>5</v>
      </c>
      <c r="C12" s="4" t="s">
        <v>43</v>
      </c>
      <c r="D12" s="4" t="s">
        <v>47</v>
      </c>
      <c r="E12" s="15" t="s">
        <v>61</v>
      </c>
    </row>
    <row r="13" customFormat="false" ht="23.85" hidden="false" customHeight="false" outlineLevel="0" collapsed="false">
      <c r="A13" s="4" t="s">
        <v>62</v>
      </c>
      <c r="B13" s="21" t="n">
        <f aca="false">SUMPRODUCT(TimJumlah,TimGaji)/SUM(TimJumlah)*(1+Iuran)</f>
        <v>15.4145333333333</v>
      </c>
      <c r="C13" s="4" t="s">
        <v>63</v>
      </c>
      <c r="D13" s="4" t="s">
        <v>47</v>
      </c>
      <c r="E13" s="15" t="s">
        <v>64</v>
      </c>
    </row>
    <row r="14" customFormat="false" ht="57.45" hidden="false" customHeight="false" outlineLevel="0" collapsed="false">
      <c r="A14" s="4" t="s">
        <v>65</v>
      </c>
      <c r="B14" s="22" t="n">
        <v>12</v>
      </c>
      <c r="C14" s="4" t="s">
        <v>66</v>
      </c>
      <c r="D14" s="4" t="s">
        <v>38</v>
      </c>
      <c r="E14" s="15" t="s">
        <v>67</v>
      </c>
    </row>
    <row r="15" customFormat="false" ht="15" hidden="false" customHeight="false" outlineLevel="0" collapsed="false">
      <c r="A15" s="4" t="s">
        <v>68</v>
      </c>
      <c r="B15" s="23" t="n">
        <v>18000</v>
      </c>
      <c r="C15" s="4" t="s">
        <v>69</v>
      </c>
      <c r="D15" s="4" t="s">
        <v>47</v>
      </c>
      <c r="E15" s="15" t="s">
        <v>70</v>
      </c>
    </row>
    <row r="16" customFormat="false" ht="23.85" hidden="false" customHeight="false" outlineLevel="0" collapsed="false">
      <c r="A16" s="4" t="s">
        <v>71</v>
      </c>
      <c r="B16" s="24" t="n">
        <v>4.737678</v>
      </c>
      <c r="C16" s="4" t="s">
        <v>63</v>
      </c>
      <c r="D16" s="4" t="s">
        <v>72</v>
      </c>
      <c r="E16" s="15" t="s">
        <v>73</v>
      </c>
    </row>
    <row r="17" customFormat="false" ht="23.85" hidden="false" customHeight="false" outlineLevel="0" collapsed="false">
      <c r="A17" s="4" t="s">
        <v>74</v>
      </c>
      <c r="B17" s="17" t="n">
        <v>0.22</v>
      </c>
      <c r="C17" s="4" t="s">
        <v>75</v>
      </c>
      <c r="D17" s="4" t="s">
        <v>72</v>
      </c>
      <c r="E17" s="15" t="s">
        <v>76</v>
      </c>
    </row>
    <row r="18" customFormat="false" ht="23.85" hidden="false" customHeight="false" outlineLevel="0" collapsed="false">
      <c r="A18" s="4" t="s">
        <v>77</v>
      </c>
      <c r="B18" s="17" t="n">
        <v>0.5</v>
      </c>
      <c r="C18" s="4" t="s">
        <v>78</v>
      </c>
      <c r="D18" s="4" t="s">
        <v>72</v>
      </c>
      <c r="E18" s="15" t="s">
        <v>79</v>
      </c>
    </row>
    <row r="19" customFormat="false" ht="15" hidden="false" customHeight="false" outlineLevel="0" collapsed="false">
      <c r="A19" s="4" t="s">
        <v>80</v>
      </c>
      <c r="B19" s="18" t="n">
        <v>4800</v>
      </c>
      <c r="C19" s="4" t="s">
        <v>53</v>
      </c>
      <c r="D19" s="4" t="s">
        <v>72</v>
      </c>
      <c r="E19" s="15" t="s">
        <v>81</v>
      </c>
    </row>
    <row r="20" customFormat="false" ht="15" hidden="false" customHeight="false" outlineLevel="0" collapsed="false">
      <c r="A20" s="4" t="s">
        <v>82</v>
      </c>
      <c r="B20" s="18" t="n">
        <v>50000</v>
      </c>
      <c r="C20" s="4" t="s">
        <v>53</v>
      </c>
      <c r="D20" s="4" t="s">
        <v>72</v>
      </c>
      <c r="E20" s="15" t="s">
        <v>81</v>
      </c>
    </row>
    <row r="21" customFormat="false" ht="23.85" hidden="false" customHeight="false" outlineLevel="0" collapsed="false">
      <c r="A21" s="4" t="s">
        <v>83</v>
      </c>
      <c r="B21" s="19" t="n">
        <v>4</v>
      </c>
      <c r="C21" s="4" t="s">
        <v>84</v>
      </c>
      <c r="D21" s="4" t="s">
        <v>72</v>
      </c>
      <c r="E21" s="15" t="s">
        <v>85</v>
      </c>
    </row>
    <row r="23" customFormat="false" ht="15" hidden="false" customHeight="false" outlineLevel="0" collapsed="false">
      <c r="A23" s="3" t="s">
        <v>86</v>
      </c>
    </row>
    <row r="24" customFormat="false" ht="23.85" hidden="false" customHeight="false" outlineLevel="0" collapsed="false">
      <c r="A24" s="9" t="s">
        <v>87</v>
      </c>
      <c r="B24" s="9" t="s">
        <v>88</v>
      </c>
      <c r="C24" s="9" t="s">
        <v>89</v>
      </c>
    </row>
    <row r="25" customFormat="false" ht="15" hidden="false" customHeight="false" outlineLevel="0" collapsed="false">
      <c r="A25" s="4" t="s">
        <v>90</v>
      </c>
      <c r="B25" s="16" t="n">
        <v>4</v>
      </c>
      <c r="C25" s="25" t="n">
        <f aca="false">B33*BiayaOrang*12+C33</f>
        <v>1424.872</v>
      </c>
    </row>
    <row r="26" customFormat="false" ht="15" hidden="false" customHeight="false" outlineLevel="0" collapsed="false">
      <c r="A26" s="4" t="s">
        <v>91</v>
      </c>
      <c r="B26" s="16" t="n">
        <v>6</v>
      </c>
      <c r="C26" s="25" t="n">
        <f aca="false">B34*BiayaOrang*12+C34</f>
        <v>1669.8464</v>
      </c>
    </row>
    <row r="27" customFormat="false" ht="15" hidden="false" customHeight="false" outlineLevel="0" collapsed="false">
      <c r="A27" s="4" t="s">
        <v>92</v>
      </c>
      <c r="B27" s="16" t="n">
        <v>8</v>
      </c>
      <c r="C27" s="25" t="n">
        <f aca="false">B35*BiayaOrang*12+C35</f>
        <v>2014.8208</v>
      </c>
    </row>
    <row r="28" customFormat="false" ht="15" hidden="false" customHeight="false" outlineLevel="0" collapsed="false">
      <c r="A28" s="4" t="s">
        <v>93</v>
      </c>
      <c r="B28" s="16" t="n">
        <v>10</v>
      </c>
      <c r="C28" s="25" t="n">
        <f aca="false">B36*BiayaOrang*12+C36</f>
        <v>2359.7952</v>
      </c>
    </row>
    <row r="29" customFormat="false" ht="15" hidden="false" customHeight="false" outlineLevel="0" collapsed="false">
      <c r="A29" s="4" t="s">
        <v>94</v>
      </c>
      <c r="B29" s="16" t="n">
        <v>12</v>
      </c>
      <c r="C29" s="25" t="n">
        <f aca="false">B37*BiayaOrang*12+C37</f>
        <v>2704.7696</v>
      </c>
    </row>
    <row r="30" customFormat="false" ht="15" hidden="false" customHeight="true" outlineLevel="0" collapsed="false">
      <c r="A30" s="26" t="s">
        <v>95</v>
      </c>
      <c r="B30" s="26"/>
      <c r="C30" s="26"/>
      <c r="D30" s="26"/>
      <c r="E30" s="26"/>
    </row>
    <row r="32" customFormat="false" ht="23.85" hidden="false" customHeight="false" outlineLevel="0" collapsed="false">
      <c r="A32" s="9" t="s">
        <v>87</v>
      </c>
      <c r="B32" s="9" t="s">
        <v>96</v>
      </c>
      <c r="C32" s="9" t="s">
        <v>97</v>
      </c>
    </row>
    <row r="33" customFormat="false" ht="15" hidden="false" customHeight="false" outlineLevel="0" collapsed="false">
      <c r="A33" s="4" t="s">
        <v>90</v>
      </c>
      <c r="B33" s="19" t="n">
        <v>5</v>
      </c>
      <c r="C33" s="18" t="n">
        <v>500</v>
      </c>
    </row>
    <row r="34" customFormat="false" ht="15" hidden="false" customHeight="false" outlineLevel="0" collapsed="false">
      <c r="A34" s="4" t="s">
        <v>91</v>
      </c>
      <c r="B34" s="19" t="n">
        <v>6</v>
      </c>
      <c r="C34" s="18" t="n">
        <v>560</v>
      </c>
    </row>
    <row r="35" customFormat="false" ht="15" hidden="false" customHeight="false" outlineLevel="0" collapsed="false">
      <c r="A35" s="4" t="s">
        <v>92</v>
      </c>
      <c r="B35" s="19" t="n">
        <v>7</v>
      </c>
      <c r="C35" s="18" t="n">
        <v>720</v>
      </c>
    </row>
    <row r="36" customFormat="false" ht="15" hidden="false" customHeight="false" outlineLevel="0" collapsed="false">
      <c r="A36" s="4" t="s">
        <v>93</v>
      </c>
      <c r="B36" s="19" t="n">
        <v>8</v>
      </c>
      <c r="C36" s="18" t="n">
        <v>880</v>
      </c>
    </row>
    <row r="37" customFormat="false" ht="15" hidden="false" customHeight="false" outlineLevel="0" collapsed="false">
      <c r="A37" s="4" t="s">
        <v>94</v>
      </c>
      <c r="B37" s="19" t="n">
        <v>9</v>
      </c>
      <c r="C37" s="18" t="n">
        <v>1040</v>
      </c>
    </row>
    <row r="38" customFormat="false" ht="27.75" hidden="false" customHeight="true" outlineLevel="0" collapsed="false">
      <c r="A38" s="26" t="s">
        <v>98</v>
      </c>
      <c r="B38" s="26"/>
      <c r="C38" s="26"/>
      <c r="D38" s="26"/>
      <c r="E38" s="26"/>
    </row>
    <row r="40" customFormat="false" ht="15" hidden="false" customHeight="false" outlineLevel="0" collapsed="false">
      <c r="A40" s="3" t="s">
        <v>99</v>
      </c>
    </row>
    <row r="41" customFormat="false" ht="23.85" hidden="false" customHeight="false" outlineLevel="0" collapsed="false">
      <c r="A41" s="9" t="s">
        <v>100</v>
      </c>
      <c r="B41" s="9" t="s">
        <v>101</v>
      </c>
      <c r="C41" s="9" t="s">
        <v>102</v>
      </c>
      <c r="D41" s="9"/>
      <c r="E41" s="9" t="s">
        <v>35</v>
      </c>
    </row>
    <row r="42" customFormat="false" ht="23.85" hidden="false" customHeight="false" outlineLevel="0" collapsed="false">
      <c r="A42" s="4" t="s">
        <v>103</v>
      </c>
      <c r="B42" s="19" t="n">
        <v>2</v>
      </c>
      <c r="C42" s="27" t="n">
        <v>14</v>
      </c>
      <c r="E42" s="15" t="s">
        <v>104</v>
      </c>
    </row>
    <row r="43" customFormat="false" ht="23.85" hidden="false" customHeight="false" outlineLevel="0" collapsed="false">
      <c r="A43" s="4" t="s">
        <v>105</v>
      </c>
      <c r="B43" s="19" t="n">
        <v>1</v>
      </c>
      <c r="C43" s="27" t="n">
        <v>10</v>
      </c>
      <c r="E43" s="15" t="s">
        <v>106</v>
      </c>
    </row>
    <row r="44" customFormat="false" ht="15" hidden="false" customHeight="false" outlineLevel="0" collapsed="false">
      <c r="A44" s="4" t="s">
        <v>107</v>
      </c>
      <c r="B44" s="19" t="n">
        <v>1</v>
      </c>
      <c r="C44" s="27" t="n">
        <v>14</v>
      </c>
      <c r="E44" s="15" t="s">
        <v>108</v>
      </c>
    </row>
    <row r="45" customFormat="false" ht="15" hidden="false" customHeight="false" outlineLevel="0" collapsed="false">
      <c r="A45" s="4" t="s">
        <v>109</v>
      </c>
      <c r="B45" s="19" t="n">
        <v>1</v>
      </c>
      <c r="C45" s="27" t="n">
        <v>13</v>
      </c>
      <c r="E45" s="15" t="s">
        <v>110</v>
      </c>
    </row>
    <row r="46" customFormat="false" ht="15" hidden="false" customHeight="false" outlineLevel="0" collapsed="false">
      <c r="A46" s="3" t="s">
        <v>111</v>
      </c>
      <c r="C46" s="28" t="n">
        <f aca="false">SUMPRODUCT(TimJumlah,TimGaji)/SUM(TimJumlah)</f>
        <v>13</v>
      </c>
    </row>
    <row r="48" customFormat="false" ht="15" hidden="false" customHeight="false" outlineLevel="0" collapsed="false">
      <c r="A48" s="3" t="s">
        <v>112</v>
      </c>
    </row>
    <row r="49" customFormat="false" ht="15" hidden="false" customHeight="false" outlineLevel="0" collapsed="false">
      <c r="A49" s="9" t="s">
        <v>113</v>
      </c>
      <c r="B49" s="9" t="s">
        <v>114</v>
      </c>
      <c r="C49" s="9"/>
      <c r="D49" s="9"/>
      <c r="E49" s="9" t="s">
        <v>35</v>
      </c>
    </row>
    <row r="50" customFormat="false" ht="15" hidden="false" customHeight="false" outlineLevel="0" collapsed="false">
      <c r="A50" s="4" t="s">
        <v>115</v>
      </c>
      <c r="B50" s="29" t="n">
        <v>0.037</v>
      </c>
      <c r="E50" s="15" t="s">
        <v>116</v>
      </c>
    </row>
    <row r="51" customFormat="false" ht="15" hidden="false" customHeight="false" outlineLevel="0" collapsed="false">
      <c r="A51" s="4" t="s">
        <v>117</v>
      </c>
      <c r="B51" s="29" t="n">
        <v>0.02</v>
      </c>
      <c r="E51" s="15" t="s">
        <v>118</v>
      </c>
    </row>
    <row r="52" customFormat="false" ht="15" hidden="false" customHeight="false" outlineLevel="0" collapsed="false">
      <c r="A52" s="4" t="s">
        <v>119</v>
      </c>
      <c r="B52" s="29" t="n">
        <v>0.0024</v>
      </c>
      <c r="E52" s="15" t="s">
        <v>120</v>
      </c>
    </row>
    <row r="53" customFormat="false" ht="15" hidden="false" customHeight="false" outlineLevel="0" collapsed="false">
      <c r="A53" s="4" t="s">
        <v>121</v>
      </c>
      <c r="B53" s="29" t="n">
        <v>0.003</v>
      </c>
      <c r="E53" s="15" t="s">
        <v>122</v>
      </c>
    </row>
    <row r="54" customFormat="false" ht="15" hidden="false" customHeight="false" outlineLevel="0" collapsed="false">
      <c r="A54" s="4" t="s">
        <v>123</v>
      </c>
      <c r="B54" s="29" t="n">
        <v>0.04</v>
      </c>
      <c r="E54" s="15" t="s">
        <v>124</v>
      </c>
    </row>
    <row r="55" customFormat="false" ht="15" hidden="false" customHeight="false" outlineLevel="0" collapsed="false">
      <c r="A55" s="4" t="s">
        <v>125</v>
      </c>
      <c r="B55" s="30" t="n">
        <f aca="false">1/12</f>
        <v>0.0833333333333333</v>
      </c>
      <c r="E55" s="15" t="s">
        <v>126</v>
      </c>
    </row>
    <row r="56" customFormat="false" ht="15" hidden="false" customHeight="false" outlineLevel="0" collapsed="false">
      <c r="A56" s="3" t="s">
        <v>127</v>
      </c>
      <c r="B56" s="31" t="n">
        <f aca="false">SUM(B50:B55)</f>
        <v>0.185733333333333</v>
      </c>
      <c r="E56" s="8" t="s">
        <v>128</v>
      </c>
    </row>
    <row r="58" customFormat="false" ht="15" hidden="false" customHeight="false" outlineLevel="0" collapsed="false">
      <c r="A58" s="3" t="s">
        <v>129</v>
      </c>
    </row>
    <row r="59" customFormat="false" ht="15" hidden="false" customHeight="false" outlineLevel="0" collapsed="false">
      <c r="A59" s="9" t="s">
        <v>130</v>
      </c>
      <c r="B59" s="9" t="s">
        <v>15</v>
      </c>
      <c r="C59" s="9"/>
      <c r="D59" s="9"/>
      <c r="E59" s="9" t="s">
        <v>35</v>
      </c>
    </row>
    <row r="60" customFormat="false" ht="15" hidden="false" customHeight="false" outlineLevel="0" collapsed="false">
      <c r="A60" s="4" t="s">
        <v>131</v>
      </c>
      <c r="B60" s="25" t="n">
        <f aca="false">TimInti*BiayaOrang*LamaDev</f>
        <v>924.872</v>
      </c>
      <c r="E60" s="4" t="s">
        <v>132</v>
      </c>
    </row>
    <row r="61" customFormat="false" ht="15" hidden="false" customHeight="false" outlineLevel="0" collapsed="false">
      <c r="A61" s="4" t="s">
        <v>133</v>
      </c>
      <c r="B61" s="18" t="n">
        <v>100</v>
      </c>
      <c r="E61" s="4" t="s">
        <v>134</v>
      </c>
    </row>
    <row r="62" customFormat="false" ht="15" hidden="false" customHeight="false" outlineLevel="0" collapsed="false">
      <c r="A62" s="4" t="s">
        <v>135</v>
      </c>
      <c r="B62" s="18" t="n">
        <v>150</v>
      </c>
      <c r="E62" s="4" t="s">
        <v>136</v>
      </c>
    </row>
    <row r="63" customFormat="false" ht="15" hidden="false" customHeight="false" outlineLevel="0" collapsed="false">
      <c r="A63" s="4" t="s">
        <v>137</v>
      </c>
      <c r="B63" s="18" t="n">
        <v>100</v>
      </c>
      <c r="E63" s="4" t="s">
        <v>134</v>
      </c>
    </row>
    <row r="64" customFormat="false" ht="15" hidden="false" customHeight="false" outlineLevel="0" collapsed="false">
      <c r="A64" s="3" t="s">
        <v>138</v>
      </c>
      <c r="B64" s="32" t="n">
        <f aca="false">SUM(B60:B63)</f>
        <v>1274.872</v>
      </c>
    </row>
  </sheetData>
  <mergeCells count="2">
    <mergeCell ref="A30:E30"/>
    <mergeCell ref="A38:E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4"/>
    <col collapsed="false" customWidth="true" hidden="false" outlineLevel="0" max="7" min="2" style="0" width="12"/>
  </cols>
  <sheetData>
    <row r="1" customFormat="false" ht="16.15" hidden="false" customHeight="false" outlineLevel="0" collapsed="false">
      <c r="A1" s="13" t="s">
        <v>139</v>
      </c>
    </row>
    <row r="2" customFormat="false" ht="15" hidden="false" customHeight="false" outlineLevel="0" collapsed="false">
      <c r="A2" s="8" t="s">
        <v>140</v>
      </c>
    </row>
    <row r="3" customFormat="false" ht="15" hidden="false" customHeight="false" outlineLevel="0" collapsed="false">
      <c r="A3" s="9" t="s">
        <v>53</v>
      </c>
      <c r="B3" s="9" t="s">
        <v>141</v>
      </c>
      <c r="C3" s="9" t="s">
        <v>90</v>
      </c>
      <c r="D3" s="9" t="s">
        <v>91</v>
      </c>
      <c r="E3" s="9" t="s">
        <v>92</v>
      </c>
      <c r="F3" s="9" t="s">
        <v>93</v>
      </c>
      <c r="G3" s="9" t="s">
        <v>94</v>
      </c>
    </row>
    <row r="4" customFormat="false" ht="15" hidden="false" customHeight="false" outlineLevel="0" collapsed="false">
      <c r="A4" s="4" t="s">
        <v>142</v>
      </c>
      <c r="B4" s="25" t="n">
        <v>0</v>
      </c>
      <c r="C4" s="10" t="n">
        <f aca="false">Asumsi!$B$25</f>
        <v>4</v>
      </c>
      <c r="D4" s="10" t="n">
        <f aca="false">Asumsi!$B$26</f>
        <v>6</v>
      </c>
      <c r="E4" s="10" t="n">
        <f aca="false">Asumsi!$B$27</f>
        <v>8</v>
      </c>
      <c r="F4" s="10" t="n">
        <f aca="false">Asumsi!$B$28</f>
        <v>10</v>
      </c>
      <c r="G4" s="10" t="n">
        <f aca="false">Asumsi!$B$29</f>
        <v>12</v>
      </c>
    </row>
    <row r="5" customFormat="false" ht="15" hidden="false" customHeight="false" outlineLevel="0" collapsed="false">
      <c r="A5" s="4" t="s">
        <v>143</v>
      </c>
      <c r="B5" s="25" t="n">
        <f aca="false">B4</f>
        <v>0</v>
      </c>
      <c r="C5" s="25" t="n">
        <f aca="false">B5+C4</f>
        <v>4</v>
      </c>
      <c r="D5" s="25" t="n">
        <f aca="false">C5+D4</f>
        <v>10</v>
      </c>
      <c r="E5" s="25" t="n">
        <f aca="false">D5+E4</f>
        <v>18</v>
      </c>
      <c r="F5" s="25" t="n">
        <f aca="false">E5+F4</f>
        <v>28</v>
      </c>
      <c r="G5" s="25" t="n">
        <f aca="false">F5+G4</f>
        <v>40</v>
      </c>
    </row>
    <row r="6" customFormat="false" ht="15" hidden="false" customHeight="false" outlineLevel="0" collapsed="false">
      <c r="A6" s="4" t="s">
        <v>144</v>
      </c>
      <c r="B6" s="25" t="n">
        <v>0</v>
      </c>
      <c r="C6" s="25" t="n">
        <f aca="false">C4*UkuranKlien+B5*UkuranKlien*Penggantian</f>
        <v>20000</v>
      </c>
      <c r="D6" s="25" t="n">
        <f aca="false">D4*UkuranKlien+C5*UkuranKlien*Penggantian</f>
        <v>33000</v>
      </c>
      <c r="E6" s="25" t="n">
        <f aca="false">E4*UkuranKlien+D5*UkuranKlien*Penggantian</f>
        <v>47500</v>
      </c>
      <c r="F6" s="25" t="n">
        <f aca="false">F4*UkuranKlien+E5*UkuranKlien*Penggantian</f>
        <v>63500</v>
      </c>
      <c r="G6" s="25" t="n">
        <f aca="false">G4*UkuranKlien+F5*UkuranKlien*Penggantian</f>
        <v>81000</v>
      </c>
    </row>
    <row r="7" customFormat="false" ht="15" hidden="false" customHeight="false" outlineLevel="0" collapsed="false">
      <c r="A7" s="4" t="s">
        <v>145</v>
      </c>
      <c r="B7" s="25" t="n">
        <f aca="false">B6*Harga/1000000</f>
        <v>0</v>
      </c>
      <c r="C7" s="25" t="n">
        <f aca="false">C6*Harga/1000000</f>
        <v>1800</v>
      </c>
      <c r="D7" s="25" t="n">
        <f aca="false">D6*Harga/1000000</f>
        <v>2970</v>
      </c>
      <c r="E7" s="25" t="n">
        <f aca="false">E6*Harga/1000000</f>
        <v>4275</v>
      </c>
      <c r="F7" s="25" t="n">
        <f aca="false">F6*Harga/1000000</f>
        <v>5715</v>
      </c>
      <c r="G7" s="25" t="n">
        <f aca="false">G6*Harga/1000000</f>
        <v>7290</v>
      </c>
    </row>
    <row r="8" customFormat="false" ht="15" hidden="false" customHeight="false" outlineLevel="0" collapsed="false">
      <c r="A8" s="4" t="s">
        <v>146</v>
      </c>
      <c r="B8" s="25" t="n">
        <f aca="false">B5*Lisensi</f>
        <v>0</v>
      </c>
      <c r="C8" s="25" t="n">
        <f aca="false">C5*Lisensi</f>
        <v>200</v>
      </c>
      <c r="D8" s="25" t="n">
        <f aca="false">D5*Lisensi</f>
        <v>500</v>
      </c>
      <c r="E8" s="25" t="n">
        <f aca="false">E5*Lisensi</f>
        <v>900</v>
      </c>
      <c r="F8" s="25" t="n">
        <f aca="false">F5*Lisensi</f>
        <v>1400</v>
      </c>
      <c r="G8" s="25" t="n">
        <f aca="false">G5*Lisensi</f>
        <v>2000</v>
      </c>
    </row>
    <row r="9" customFormat="false" ht="15" hidden="false" customHeight="false" outlineLevel="0" collapsed="false">
      <c r="A9" s="4" t="s">
        <v>147</v>
      </c>
      <c r="B9" s="25" t="n">
        <f aca="false">B4*Implementasi</f>
        <v>0</v>
      </c>
      <c r="C9" s="25" t="n">
        <f aca="false">C4*Implementasi</f>
        <v>120</v>
      </c>
      <c r="D9" s="25" t="n">
        <f aca="false">D4*Implementasi</f>
        <v>180</v>
      </c>
      <c r="E9" s="25" t="n">
        <f aca="false">E4*Implementasi</f>
        <v>240</v>
      </c>
      <c r="F9" s="25" t="n">
        <f aca="false">F4*Implementasi</f>
        <v>300</v>
      </c>
      <c r="G9" s="25" t="n">
        <f aca="false">G4*Implementasi</f>
        <v>360</v>
      </c>
    </row>
    <row r="10" customFormat="false" ht="15" hidden="false" customHeight="false" outlineLevel="0" collapsed="false">
      <c r="A10" s="3" t="s">
        <v>148</v>
      </c>
      <c r="B10" s="32" t="n">
        <f aca="false">SUM(B7:B9)</f>
        <v>0</v>
      </c>
      <c r="C10" s="32" t="n">
        <f aca="false">SUM(C7:C9)</f>
        <v>2120</v>
      </c>
      <c r="D10" s="32" t="n">
        <f aca="false">SUM(D7:D9)</f>
        <v>3650</v>
      </c>
      <c r="E10" s="32" t="n">
        <f aca="false">SUM(E7:E9)</f>
        <v>5415</v>
      </c>
      <c r="F10" s="32" t="n">
        <f aca="false">SUM(F7:F9)</f>
        <v>7415</v>
      </c>
      <c r="G10" s="32" t="n">
        <f aca="false">SUM(G7:G9)</f>
        <v>9650</v>
      </c>
    </row>
    <row r="11" customFormat="false" ht="15" hidden="false" customHeight="false" outlineLevel="0" collapsed="false">
      <c r="A11" s="4" t="s">
        <v>149</v>
      </c>
      <c r="B11" s="25" t="n">
        <f aca="false">-B6*HPP/1000000</f>
        <v>-0</v>
      </c>
      <c r="C11" s="25" t="n">
        <f aca="false">-C6*HPP/1000000</f>
        <v>-900</v>
      </c>
      <c r="D11" s="25" t="n">
        <f aca="false">-D6*HPP/1000000</f>
        <v>-1485</v>
      </c>
      <c r="E11" s="25" t="n">
        <f aca="false">-E6*HPP/1000000</f>
        <v>-2137.5</v>
      </c>
      <c r="F11" s="25" t="n">
        <f aca="false">-F6*HPP/1000000</f>
        <v>-2857.5</v>
      </c>
      <c r="G11" s="25" t="n">
        <f aca="false">-G6*HPP/1000000</f>
        <v>-3645</v>
      </c>
    </row>
    <row r="12" customFormat="false" ht="15" hidden="false" customHeight="false" outlineLevel="0" collapsed="false">
      <c r="A12" s="3" t="s">
        <v>150</v>
      </c>
      <c r="B12" s="32" t="n">
        <f aca="false">B10+B11</f>
        <v>0</v>
      </c>
      <c r="C12" s="32" t="n">
        <f aca="false">C10+C11</f>
        <v>1220</v>
      </c>
      <c r="D12" s="32" t="n">
        <f aca="false">D10+D11</f>
        <v>2165</v>
      </c>
      <c r="E12" s="32" t="n">
        <f aca="false">E10+E11</f>
        <v>3277.5</v>
      </c>
      <c r="F12" s="32" t="n">
        <f aca="false">F10+F11</f>
        <v>4557.5</v>
      </c>
      <c r="G12" s="32" t="n">
        <f aca="false">G10+G11</f>
        <v>6005</v>
      </c>
    </row>
    <row r="13" customFormat="false" ht="15" hidden="false" customHeight="false" outlineLevel="0" collapsed="false">
      <c r="A13" s="4" t="s">
        <v>151</v>
      </c>
      <c r="B13" s="25" t="n">
        <v>0</v>
      </c>
      <c r="C13" s="10" t="n">
        <f aca="false">-Asumsi!$C$25</f>
        <v>-1424.872</v>
      </c>
      <c r="D13" s="10" t="n">
        <f aca="false">-Asumsi!$C$26</f>
        <v>-1669.8464</v>
      </c>
      <c r="E13" s="10" t="n">
        <f aca="false">-Asumsi!$C$27</f>
        <v>-2014.8208</v>
      </c>
      <c r="F13" s="10" t="n">
        <f aca="false">-Asumsi!$C$28</f>
        <v>-2359.7952</v>
      </c>
      <c r="G13" s="10" t="n">
        <f aca="false">-Asumsi!$C$29</f>
        <v>-2704.7696</v>
      </c>
    </row>
    <row r="14" customFormat="false" ht="15" hidden="false" customHeight="false" outlineLevel="0" collapsed="false">
      <c r="A14" s="4" t="s">
        <v>152</v>
      </c>
      <c r="B14" s="25" t="n">
        <f aca="false">-Capex</f>
        <v>-1274.872</v>
      </c>
      <c r="C14" s="25" t="n">
        <v>0</v>
      </c>
      <c r="D14" s="25" t="n">
        <v>0</v>
      </c>
      <c r="E14" s="25" t="n">
        <v>0</v>
      </c>
      <c r="F14" s="25" t="n">
        <v>0</v>
      </c>
      <c r="G14" s="25" t="n">
        <v>0</v>
      </c>
    </row>
    <row r="15" customFormat="false" ht="15" hidden="false" customHeight="false" outlineLevel="0" collapsed="false">
      <c r="A15" s="3" t="s">
        <v>153</v>
      </c>
      <c r="B15" s="32" t="n">
        <f aca="false">B12+B13+B14</f>
        <v>-1274.872</v>
      </c>
      <c r="C15" s="32" t="n">
        <f aca="false">C12+C13+C14</f>
        <v>-204.872</v>
      </c>
      <c r="D15" s="32" t="n">
        <f aca="false">D12+D13+D14</f>
        <v>495.1536</v>
      </c>
      <c r="E15" s="32" t="n">
        <f aca="false">E12+E13+E14</f>
        <v>1262.6792</v>
      </c>
      <c r="F15" s="32" t="n">
        <f aca="false">F12+F13+F14</f>
        <v>2197.7048</v>
      </c>
      <c r="G15" s="32" t="n">
        <f aca="false">G12+G13+G14</f>
        <v>3300.2304</v>
      </c>
    </row>
    <row r="16" customFormat="false" ht="15" hidden="false" customHeight="false" outlineLevel="0" collapsed="false">
      <c r="A16" s="3" t="s">
        <v>154</v>
      </c>
      <c r="B16" s="32" t="n">
        <f aca="false">B15</f>
        <v>-1274.872</v>
      </c>
      <c r="C16" s="32" t="n">
        <f aca="false">B16+C15</f>
        <v>-1479.744</v>
      </c>
      <c r="D16" s="32" t="n">
        <f aca="false">C16+D15</f>
        <v>-984.5904</v>
      </c>
      <c r="E16" s="32" t="n">
        <f aca="false">D16+E15</f>
        <v>278.0888</v>
      </c>
      <c r="F16" s="32" t="n">
        <f aca="false">E16+F15</f>
        <v>2475.7936</v>
      </c>
      <c r="G16" s="32" t="n">
        <f aca="false">F16+G15</f>
        <v>5776.024</v>
      </c>
    </row>
    <row r="18" customFormat="false" ht="15" hidden="false" customHeight="false" outlineLevel="0" collapsed="false">
      <c r="A18" s="3" t="s">
        <v>155</v>
      </c>
    </row>
    <row r="19" customFormat="false" ht="15" hidden="false" customHeight="false" outlineLevel="0" collapsed="false">
      <c r="A19" s="4" t="s">
        <v>156</v>
      </c>
      <c r="B19" s="25" t="n">
        <f aca="false">B15+NPV(Diskonto,C15:G15)</f>
        <v>3105.01059409677</v>
      </c>
    </row>
    <row r="20" customFormat="false" ht="15" hidden="false" customHeight="false" outlineLevel="0" collapsed="false">
      <c r="A20" s="4" t="s">
        <v>157</v>
      </c>
      <c r="B20" s="33" t="n">
        <f aca="false">IFERROR(IRR(B15:G15),"negatif")</f>
        <v>0.514833219753665</v>
      </c>
    </row>
    <row r="21" customFormat="false" ht="15" hidden="false" customHeight="false" outlineLevel="0" collapsed="false">
      <c r="A21" s="4" t="s">
        <v>158</v>
      </c>
      <c r="B21" s="34" t="n">
        <f aca="false">IF(COUNT(C23:G23)=0,"Tidak tercapai dalam 5 tahun",MIN(C23:G23))</f>
        <v>2.77976290414858</v>
      </c>
    </row>
    <row r="22" customFormat="false" ht="15" hidden="false" customHeight="false" outlineLevel="0" collapsed="false">
      <c r="A22" s="8" t="s">
        <v>159</v>
      </c>
      <c r="B22" s="35" t="n">
        <v>0</v>
      </c>
      <c r="C22" s="35" t="n">
        <v>1</v>
      </c>
      <c r="D22" s="35" t="n">
        <v>2</v>
      </c>
      <c r="E22" s="35" t="n">
        <v>3</v>
      </c>
      <c r="F22" s="35" t="n">
        <v>4</v>
      </c>
      <c r="G22" s="35" t="n">
        <v>5</v>
      </c>
    </row>
    <row r="23" customFormat="false" ht="15" hidden="false" customHeight="false" outlineLevel="0" collapsed="false">
      <c r="A23" s="8" t="s">
        <v>160</v>
      </c>
      <c r="C23" s="36" t="str">
        <f aca="false">IF(AND(B16&lt;0,C16&gt;=0),B22+(-B16)/C15,"")</f>
        <v/>
      </c>
      <c r="D23" s="36" t="str">
        <f aca="false">IF(AND(C16&lt;0,D16&gt;=0),C22+(-C16)/D15,"")</f>
        <v/>
      </c>
      <c r="E23" s="36" t="n">
        <f aca="false">IF(AND(D16&lt;0,E16&gt;=0),D22+(-D16)/E15,"")</f>
        <v>2.77976290414858</v>
      </c>
      <c r="F23" s="36" t="str">
        <f aca="false">IF(AND(E16&lt;0,F16&gt;=0),E22+(-E16)/F15,"")</f>
        <v/>
      </c>
      <c r="G23" s="36" t="str">
        <f aca="false">IF(AND(F16&lt;0,G16&gt;=0),F22+(-F16)/G15,"")</f>
        <v/>
      </c>
    </row>
    <row r="24" customFormat="false" ht="15" hidden="false" customHeight="false" outlineLevel="0" collapsed="false">
      <c r="A24" s="4" t="s">
        <v>161</v>
      </c>
      <c r="B24" s="25" t="n">
        <f aca="false">MIN(B16:G16)</f>
        <v>-1479.744</v>
      </c>
    </row>
    <row r="25" customFormat="false" ht="15" hidden="false" customHeight="false" outlineLevel="0" collapsed="false">
      <c r="A25" s="4" t="s">
        <v>162</v>
      </c>
      <c r="B25" s="25" t="n">
        <f aca="false">MAX(0,-C15)</f>
        <v>204.872</v>
      </c>
    </row>
    <row r="26" customFormat="false" ht="15" hidden="false" customHeight="false" outlineLevel="0" collapsed="false">
      <c r="A26" s="4" t="s">
        <v>163</v>
      </c>
      <c r="B26" s="10" t="n">
        <f aca="false">CadanganBulan/12*Asumsi!$C$25</f>
        <v>356.218</v>
      </c>
    </row>
    <row r="27" customFormat="false" ht="15" hidden="false" customHeight="false" outlineLevel="0" collapsed="false">
      <c r="A27" s="3" t="s">
        <v>164</v>
      </c>
      <c r="B27" s="32" t="n">
        <f aca="false">Capex+B25+B26</f>
        <v>1835.962</v>
      </c>
    </row>
    <row r="29" customFormat="false" ht="15" hidden="false" customHeight="false" outlineLevel="0" collapsed="false">
      <c r="A29" s="3" t="s">
        <v>165</v>
      </c>
    </row>
    <row r="30" customFormat="false" ht="15" hidden="false" customHeight="false" outlineLevel="0" collapsed="false">
      <c r="A30" s="4" t="s">
        <v>166</v>
      </c>
      <c r="B30" s="37" t="n">
        <f aca="false">Harga-HPP</f>
        <v>45000</v>
      </c>
    </row>
    <row r="31" customFormat="false" ht="15" hidden="false" customHeight="false" outlineLevel="0" collapsed="false">
      <c r="A31" s="9"/>
      <c r="B31" s="9"/>
      <c r="C31" s="9" t="s">
        <v>90</v>
      </c>
      <c r="D31" s="9" t="s">
        <v>91</v>
      </c>
      <c r="E31" s="9" t="s">
        <v>92</v>
      </c>
      <c r="F31" s="9" t="s">
        <v>93</v>
      </c>
      <c r="G31" s="9" t="s">
        <v>94</v>
      </c>
    </row>
    <row r="32" customFormat="false" ht="15" hidden="false" customHeight="false" outlineLevel="0" collapsed="false">
      <c r="A32" s="4" t="s">
        <v>167</v>
      </c>
      <c r="C32" s="25" t="n">
        <f aca="false">IF($B$30&lt;=0,"n/a",(-C13-C8-C9)*1000000/$B$30)</f>
        <v>24552.7111111111</v>
      </c>
      <c r="D32" s="25" t="n">
        <f aca="false">IF($B$30&lt;=0,"n/a",(-D13-D8-D9)*1000000/$B$30)</f>
        <v>21996.5866666667</v>
      </c>
      <c r="E32" s="25" t="n">
        <f aca="false">IF($B$30&lt;=0,"n/a",(-E13-E8-E9)*1000000/$B$30)</f>
        <v>19440.4622222222</v>
      </c>
      <c r="F32" s="25" t="n">
        <f aca="false">IF($B$30&lt;=0,"n/a",(-F13-F8-F9)*1000000/$B$30)</f>
        <v>14662.1155555556</v>
      </c>
      <c r="G32" s="25" t="n">
        <f aca="false">IF($B$30&lt;=0,"n/a",(-G13-G8-G9)*1000000/$B$30)</f>
        <v>7661.54666666666</v>
      </c>
    </row>
    <row r="33" customFormat="false" ht="15" hidden="false" customHeight="false" outlineLevel="0" collapsed="false">
      <c r="A33" s="4" t="s">
        <v>168</v>
      </c>
      <c r="C33" s="25" t="n">
        <f aca="false">C6</f>
        <v>20000</v>
      </c>
      <c r="D33" s="25" t="n">
        <f aca="false">D6</f>
        <v>33000</v>
      </c>
      <c r="E33" s="25" t="n">
        <f aca="false">E6</f>
        <v>47500</v>
      </c>
      <c r="F33" s="25" t="n">
        <f aca="false">F6</f>
        <v>63500</v>
      </c>
      <c r="G33" s="25" t="n">
        <f aca="false">G6</f>
        <v>81000</v>
      </c>
    </row>
    <row r="34" customFormat="false" ht="15" hidden="false" customHeight="false" outlineLevel="0" collapsed="false">
      <c r="A34" s="4" t="s">
        <v>169</v>
      </c>
      <c r="C34" s="4" t="str">
        <f aca="false">IF(ISNUMBER(C32),IF(C33&gt;=CEILING(C32,1),"Laba","Rugi"),"Rugi")</f>
        <v>Rugi</v>
      </c>
      <c r="D34" s="4" t="str">
        <f aca="false">IF(ISNUMBER(D32),IF(D33&gt;=CEILING(D32,1),"Laba","Rugi"),"Rugi")</f>
        <v>Laba</v>
      </c>
      <c r="E34" s="4" t="str">
        <f aca="false">IF(ISNUMBER(E32),IF(E33&gt;=CEILING(E32,1),"Laba","Rugi"),"Rugi")</f>
        <v>Laba</v>
      </c>
      <c r="F34" s="4" t="str">
        <f aca="false">IF(ISNUMBER(F32),IF(F33&gt;=CEILING(F32,1),"Laba","Rugi"),"Rugi")</f>
        <v>Laba</v>
      </c>
      <c r="G34" s="4" t="str">
        <f aca="false">IF(ISNUMBER(G32),IF(G33&gt;=CEILING(G32,1),"Laba","Rugi"),"Rugi")</f>
        <v>Laba</v>
      </c>
    </row>
    <row r="36" customFormat="false" ht="15" hidden="false" customHeight="false" outlineLevel="0" collapsed="false">
      <c r="A36" s="3" t="s">
        <v>170</v>
      </c>
    </row>
    <row r="37" customFormat="false" ht="15" hidden="false" customHeight="false" outlineLevel="0" collapsed="false">
      <c r="A37" s="8" t="s">
        <v>171</v>
      </c>
    </row>
    <row r="38" customFormat="false" ht="15" hidden="false" customHeight="false" outlineLevel="0" collapsed="false">
      <c r="A38" s="9" t="s">
        <v>53</v>
      </c>
      <c r="B38" s="9" t="s">
        <v>141</v>
      </c>
      <c r="C38" s="9" t="s">
        <v>90</v>
      </c>
      <c r="D38" s="9" t="s">
        <v>91</v>
      </c>
      <c r="E38" s="9" t="s">
        <v>92</v>
      </c>
      <c r="F38" s="9" t="s">
        <v>93</v>
      </c>
      <c r="G38" s="9" t="s">
        <v>94</v>
      </c>
    </row>
    <row r="39" customFormat="false" ht="15" hidden="false" customHeight="false" outlineLevel="0" collapsed="false">
      <c r="A39" s="4" t="s">
        <v>172</v>
      </c>
      <c r="B39" s="25" t="n">
        <v>0</v>
      </c>
      <c r="C39" s="25" t="n">
        <f aca="false">C12+C13</f>
        <v>-204.872</v>
      </c>
      <c r="D39" s="25" t="n">
        <f aca="false">D12+D13</f>
        <v>495.1536</v>
      </c>
      <c r="E39" s="25" t="n">
        <f aca="false">E12+E13</f>
        <v>1262.6792</v>
      </c>
      <c r="F39" s="25" t="n">
        <f aca="false">F12+F13</f>
        <v>2197.7048</v>
      </c>
      <c r="G39" s="25" t="n">
        <f aca="false">G12+G13</f>
        <v>3300.2304</v>
      </c>
    </row>
    <row r="40" customFormat="false" ht="15" hidden="false" customHeight="false" outlineLevel="0" collapsed="false">
      <c r="A40" s="4" t="s">
        <v>173</v>
      </c>
      <c r="B40" s="25" t="n">
        <f aca="false">-IF(B$22&lt;MasaAmortisasi,Capex/MasaAmortisasi,0)</f>
        <v>-318.718</v>
      </c>
      <c r="C40" s="25" t="n">
        <f aca="false">-IF(C$22&lt;MasaAmortisasi,Capex/MasaAmortisasi,0)</f>
        <v>-318.718</v>
      </c>
      <c r="D40" s="25" t="n">
        <f aca="false">-IF(D$22&lt;MasaAmortisasi,Capex/MasaAmortisasi,0)</f>
        <v>-318.718</v>
      </c>
      <c r="E40" s="25" t="n">
        <f aca="false">-IF(E$22&lt;MasaAmortisasi,Capex/MasaAmortisasi,0)</f>
        <v>-318.718</v>
      </c>
      <c r="F40" s="25" t="n">
        <f aca="false">-IF(F$22&lt;MasaAmortisasi,Capex/MasaAmortisasi,0)</f>
        <v>-0</v>
      </c>
      <c r="G40" s="25" t="n">
        <f aca="false">-IF(G$22&lt;MasaAmortisasi,Capex/MasaAmortisasi,0)</f>
        <v>-0</v>
      </c>
    </row>
    <row r="41" customFormat="false" ht="15" hidden="false" customHeight="false" outlineLevel="0" collapsed="false">
      <c r="A41" s="4" t="s">
        <v>174</v>
      </c>
      <c r="B41" s="25" t="n">
        <f aca="false">B39+B40</f>
        <v>-318.718</v>
      </c>
      <c r="C41" s="25" t="n">
        <f aca="false">C39+C40</f>
        <v>-523.59</v>
      </c>
      <c r="D41" s="25" t="n">
        <f aca="false">D39+D40</f>
        <v>176.4356</v>
      </c>
      <c r="E41" s="25" t="n">
        <f aca="false">E39+E40</f>
        <v>943.9612</v>
      </c>
      <c r="F41" s="25" t="n">
        <f aca="false">F39+F40</f>
        <v>2197.7048</v>
      </c>
      <c r="G41" s="25" t="n">
        <f aca="false">G39+G40</f>
        <v>3300.2304</v>
      </c>
    </row>
    <row r="42" customFormat="false" ht="15" hidden="false" customHeight="false" outlineLevel="0" collapsed="false">
      <c r="A42" s="4" t="s">
        <v>175</v>
      </c>
      <c r="B42" s="25" t="n">
        <v>0</v>
      </c>
      <c r="C42" s="25" t="n">
        <f aca="false">B44</f>
        <v>318.718</v>
      </c>
      <c r="D42" s="25" t="n">
        <f aca="false">C44</f>
        <v>842.308</v>
      </c>
      <c r="E42" s="25" t="n">
        <f aca="false">D44</f>
        <v>665.8724</v>
      </c>
      <c r="F42" s="25" t="n">
        <f aca="false">E44</f>
        <v>0</v>
      </c>
      <c r="G42" s="25" t="n">
        <f aca="false">F44</f>
        <v>0</v>
      </c>
    </row>
    <row r="43" customFormat="false" ht="15" hidden="false" customHeight="false" outlineLevel="0" collapsed="false">
      <c r="A43" s="4" t="s">
        <v>176</v>
      </c>
      <c r="B43" s="25" t="n">
        <f aca="false">MAX(0,B41-B42)</f>
        <v>0</v>
      </c>
      <c r="C43" s="25" t="n">
        <f aca="false">MAX(0,C41-C42)</f>
        <v>0</v>
      </c>
      <c r="D43" s="25" t="n">
        <f aca="false">MAX(0,D41-D42)</f>
        <v>0</v>
      </c>
      <c r="E43" s="25" t="n">
        <f aca="false">MAX(0,E41-E42)</f>
        <v>278.0888</v>
      </c>
      <c r="F43" s="25" t="n">
        <f aca="false">MAX(0,F41-F42)</f>
        <v>2197.7048</v>
      </c>
      <c r="G43" s="25" t="n">
        <f aca="false">MAX(0,G41-G42)</f>
        <v>3300.2304</v>
      </c>
    </row>
    <row r="44" customFormat="false" ht="15" hidden="false" customHeight="false" outlineLevel="0" collapsed="false">
      <c r="A44" s="4" t="s">
        <v>177</v>
      </c>
      <c r="B44" s="25" t="n">
        <f aca="false">MAX(0,B42-B41)</f>
        <v>318.718</v>
      </c>
      <c r="C44" s="25" t="n">
        <f aca="false">MAX(0,C42-C41)</f>
        <v>842.308</v>
      </c>
      <c r="D44" s="25" t="n">
        <f aca="false">MAX(0,D42-D41)</f>
        <v>665.8724</v>
      </c>
      <c r="E44" s="25" t="n">
        <f aca="false">MAX(0,E42-E41)</f>
        <v>0</v>
      </c>
      <c r="F44" s="25" t="n">
        <f aca="false">MAX(0,F42-F41)</f>
        <v>0</v>
      </c>
      <c r="G44" s="25" t="n">
        <f aca="false">MAX(0,G42-G41)</f>
        <v>0</v>
      </c>
    </row>
    <row r="45" customFormat="false" ht="15" hidden="false" customHeight="false" outlineLevel="0" collapsed="false">
      <c r="A45" s="4" t="s">
        <v>178</v>
      </c>
      <c r="B45" s="25" t="n">
        <f aca="false">B10</f>
        <v>0</v>
      </c>
      <c r="C45" s="25" t="n">
        <f aca="false">C10</f>
        <v>2120</v>
      </c>
      <c r="D45" s="25" t="n">
        <f aca="false">D10</f>
        <v>3650</v>
      </c>
      <c r="E45" s="25" t="n">
        <f aca="false">E10</f>
        <v>5415</v>
      </c>
      <c r="F45" s="25" t="n">
        <f aca="false">F10</f>
        <v>7415</v>
      </c>
      <c r="G45" s="25" t="n">
        <f aca="false">G10</f>
        <v>9650</v>
      </c>
    </row>
    <row r="46" customFormat="false" ht="15" hidden="false" customHeight="false" outlineLevel="0" collapsed="false">
      <c r="A46" s="4" t="s">
        <v>179</v>
      </c>
      <c r="B46" s="33" t="n">
        <f aca="false">IF(B45&lt;=BatasOmzet31E,TarifPPh*(1-Potongan31E*MIN(1,Omzet31E/MAX(B45,0.000001))),TarifPPh)</f>
        <v>0.11</v>
      </c>
      <c r="C46" s="33" t="n">
        <f aca="false">IF(C45&lt;=BatasOmzet31E,TarifPPh*(1-Potongan31E*MIN(1,Omzet31E/MAX(C45,0.000001))),TarifPPh)</f>
        <v>0.11</v>
      </c>
      <c r="D46" s="33" t="n">
        <f aca="false">IF(D45&lt;=BatasOmzet31E,TarifPPh*(1-Potongan31E*MIN(1,Omzet31E/MAX(D45,0.000001))),TarifPPh)</f>
        <v>0.11</v>
      </c>
      <c r="E46" s="33" t="n">
        <f aca="false">IF(E45&lt;=BatasOmzet31E,TarifPPh*(1-Potongan31E*MIN(1,Omzet31E/MAX(E45,0.000001))),TarifPPh)</f>
        <v>0.122493074792244</v>
      </c>
      <c r="F46" s="33" t="n">
        <f aca="false">IF(F45&lt;=BatasOmzet31E,TarifPPh*(1-Potongan31E*MIN(1,Omzet31E/MAX(F45,0.000001))),TarifPPh)</f>
        <v>0.148792987188132</v>
      </c>
      <c r="G46" s="33" t="n">
        <f aca="false">IF(G45&lt;=BatasOmzet31E,TarifPPh*(1-Potongan31E*MIN(1,Omzet31E/MAX(G45,0.000001))),TarifPPh)</f>
        <v>0.165284974093264</v>
      </c>
    </row>
    <row r="47" customFormat="false" ht="15" hidden="false" customHeight="false" outlineLevel="0" collapsed="false">
      <c r="A47" s="3" t="s">
        <v>180</v>
      </c>
      <c r="B47" s="32" t="n">
        <f aca="false">B43*B46</f>
        <v>0</v>
      </c>
      <c r="C47" s="32" t="n">
        <f aca="false">C43*C46</f>
        <v>0</v>
      </c>
      <c r="D47" s="32" t="n">
        <f aca="false">D43*D46</f>
        <v>0</v>
      </c>
      <c r="E47" s="32" t="n">
        <f aca="false">E43*E46</f>
        <v>34.0639521772854</v>
      </c>
      <c r="F47" s="32" t="n">
        <f aca="false">F43*F46</f>
        <v>327.003062149697</v>
      </c>
      <c r="G47" s="32" t="n">
        <f aca="false">G43*G46</f>
        <v>545.478496165803</v>
      </c>
    </row>
    <row r="48" customFormat="false" ht="15" hidden="false" customHeight="false" outlineLevel="0" collapsed="false">
      <c r="A48" s="3" t="s">
        <v>181</v>
      </c>
      <c r="B48" s="32" t="n">
        <f aca="false">B15-B47</f>
        <v>-1274.872</v>
      </c>
      <c r="C48" s="32" t="n">
        <f aca="false">C15-C47</f>
        <v>-204.872</v>
      </c>
      <c r="D48" s="32" t="n">
        <f aca="false">D15-D47</f>
        <v>495.1536</v>
      </c>
      <c r="E48" s="32" t="n">
        <f aca="false">E15-E47</f>
        <v>1228.61524782271</v>
      </c>
      <c r="F48" s="32" t="n">
        <f aca="false">F15-F47</f>
        <v>1870.7017378503</v>
      </c>
      <c r="G48" s="32" t="n">
        <f aca="false">G15-G47</f>
        <v>2754.7519038342</v>
      </c>
    </row>
    <row r="49" customFormat="false" ht="15" hidden="false" customHeight="false" outlineLevel="0" collapsed="false">
      <c r="A49" s="3" t="s">
        <v>182</v>
      </c>
      <c r="B49" s="32" t="n">
        <f aca="false">B48</f>
        <v>-1274.872</v>
      </c>
      <c r="C49" s="32" t="n">
        <f aca="false">B49+C48</f>
        <v>-1479.744</v>
      </c>
      <c r="D49" s="32" t="n">
        <f aca="false">C49+D48</f>
        <v>-984.5904</v>
      </c>
      <c r="E49" s="32" t="n">
        <f aca="false">D49+E48</f>
        <v>244.024847822715</v>
      </c>
      <c r="F49" s="32" t="n">
        <f aca="false">E49+F48</f>
        <v>2114.72658567302</v>
      </c>
      <c r="G49" s="32" t="n">
        <f aca="false">F49+G48</f>
        <v>4869.47848950722</v>
      </c>
    </row>
    <row r="51" customFormat="false" ht="15" hidden="false" customHeight="false" outlineLevel="0" collapsed="false">
      <c r="A51" s="3" t="s">
        <v>183</v>
      </c>
    </row>
    <row r="52" customFormat="false" ht="15" hidden="false" customHeight="false" outlineLevel="0" collapsed="false">
      <c r="A52" s="3" t="s">
        <v>184</v>
      </c>
      <c r="B52" s="32" t="n">
        <f aca="false">B48+NPV(Diskonto,C48:G48)</f>
        <v>2563.42904014317</v>
      </c>
    </row>
    <row r="53" customFormat="false" ht="15" hidden="false" customHeight="false" outlineLevel="0" collapsed="false">
      <c r="A53" s="4" t="s">
        <v>185</v>
      </c>
      <c r="B53" s="33" t="n">
        <f aca="false">IFERROR(IRR(B48:G48),"negatif")</f>
        <v>0.471050154324931</v>
      </c>
    </row>
    <row r="54" customFormat="false" ht="15" hidden="false" customHeight="false" outlineLevel="0" collapsed="false">
      <c r="A54" s="4" t="s">
        <v>186</v>
      </c>
      <c r="B54" s="34" t="n">
        <f aca="false">IF(COUNT(C56:G56)=0,"Tidak tercapai dalam 5 tahun",MIN(C56:G56))</f>
        <v>2.80138220793274</v>
      </c>
    </row>
    <row r="55" customFormat="false" ht="15" hidden="false" customHeight="false" outlineLevel="0" collapsed="false">
      <c r="A55" s="4" t="s">
        <v>187</v>
      </c>
      <c r="B55" s="25" t="n">
        <f aca="false">SUM(C47:G47)</f>
        <v>906.545510492785</v>
      </c>
    </row>
    <row r="56" customFormat="false" ht="15" hidden="false" customHeight="false" outlineLevel="0" collapsed="false">
      <c r="A56" s="8" t="s">
        <v>188</v>
      </c>
      <c r="C56" s="36" t="str">
        <f aca="false">IF(AND(B49&lt;0,C49&gt;=0),B22+(-B49)/C48,"")</f>
        <v/>
      </c>
      <c r="D56" s="36" t="str">
        <f aca="false">IF(AND(C49&lt;0,D49&gt;=0),C22+(-C49)/D48,"")</f>
        <v/>
      </c>
      <c r="E56" s="36" t="n">
        <f aca="false">IF(AND(D49&lt;0,E49&gt;=0),D22+(-D49)/E48,"")</f>
        <v>2.80138220793274</v>
      </c>
      <c r="F56" s="36" t="str">
        <f aca="false">IF(AND(E49&lt;0,F49&gt;=0),E22+(-E49)/F48,"")</f>
        <v/>
      </c>
      <c r="G56" s="36" t="str">
        <f aca="false">IF(AND(F49&lt;0,G49&gt;=0),F22+(-F49)/G48,"")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L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1"/>
  <cols>
    <col collapsed="false" customWidth="true" hidden="false" outlineLevel="0" max="1" min="1" style="0" width="64"/>
    <col collapsed="false" customWidth="true" hidden="false" outlineLevel="0" max="20" min="2" style="0" width="11"/>
    <col collapsed="false" customWidth="true" hidden="true" outlineLevel="1" max="64" min="21" style="0" width="11"/>
  </cols>
  <sheetData>
    <row r="1" customFormat="false" ht="16.15" hidden="false" customHeight="false" outlineLevel="0" collapsed="false">
      <c r="A1" s="13" t="s">
        <v>189</v>
      </c>
    </row>
    <row r="2" customFormat="false" ht="15" hidden="false" customHeight="false" outlineLevel="0" collapsed="false">
      <c r="A2" s="8" t="s">
        <v>190</v>
      </c>
    </row>
    <row r="3" customFormat="false" ht="15" hidden="false" customHeight="false" outlineLevel="0" collapsed="false">
      <c r="Z3" s="8" t="s">
        <v>191</v>
      </c>
      <c r="AA3" s="35" t="n">
        <v>0</v>
      </c>
      <c r="AB3" s="35" t="n">
        <v>1</v>
      </c>
      <c r="AC3" s="35" t="n">
        <v>2</v>
      </c>
      <c r="AD3" s="35" t="n">
        <v>3</v>
      </c>
      <c r="AE3" s="35" t="n">
        <v>4</v>
      </c>
      <c r="AF3" s="8" t="s">
        <v>192</v>
      </c>
    </row>
    <row r="4" customFormat="false" ht="35.05" hidden="false" customHeight="false" outlineLevel="0" collapsed="false">
      <c r="A4" s="9" t="s">
        <v>193</v>
      </c>
      <c r="B4" s="9" t="s">
        <v>194</v>
      </c>
      <c r="C4" s="9" t="s">
        <v>195</v>
      </c>
      <c r="D4" s="9" t="s">
        <v>196</v>
      </c>
      <c r="E4" s="9" t="s">
        <v>197</v>
      </c>
      <c r="F4" s="9" t="s">
        <v>198</v>
      </c>
      <c r="G4" s="9" t="s">
        <v>199</v>
      </c>
      <c r="H4" s="9" t="s">
        <v>200</v>
      </c>
      <c r="I4" s="9" t="s">
        <v>201</v>
      </c>
      <c r="J4" s="9" t="s">
        <v>202</v>
      </c>
      <c r="K4" s="9" t="s">
        <v>203</v>
      </c>
      <c r="L4" s="9" t="s">
        <v>204</v>
      </c>
      <c r="M4" s="9" t="s">
        <v>205</v>
      </c>
      <c r="N4" s="9" t="s">
        <v>206</v>
      </c>
      <c r="O4" s="9" t="s">
        <v>207</v>
      </c>
      <c r="P4" s="9" t="s">
        <v>208</v>
      </c>
      <c r="Q4" s="9" t="s">
        <v>157</v>
      </c>
      <c r="R4" s="9" t="s">
        <v>209</v>
      </c>
      <c r="S4" s="9" t="s">
        <v>210</v>
      </c>
      <c r="T4" s="9" t="s">
        <v>211</v>
      </c>
      <c r="U4" s="9" t="s">
        <v>212</v>
      </c>
      <c r="V4" s="9" t="s">
        <v>213</v>
      </c>
      <c r="W4" s="9" t="s">
        <v>214</v>
      </c>
      <c r="X4" s="9" t="s">
        <v>215</v>
      </c>
      <c r="Y4" s="9" t="s">
        <v>216</v>
      </c>
      <c r="Z4" s="9" t="s">
        <v>217</v>
      </c>
      <c r="AA4" s="9" t="s">
        <v>218</v>
      </c>
      <c r="AB4" s="9" t="s">
        <v>219</v>
      </c>
      <c r="AC4" s="9" t="s">
        <v>220</v>
      </c>
      <c r="AD4" s="9" t="s">
        <v>221</v>
      </c>
      <c r="AE4" s="9" t="s">
        <v>222</v>
      </c>
      <c r="AF4" s="9" t="s">
        <v>223</v>
      </c>
      <c r="AG4" s="9" t="s">
        <v>224</v>
      </c>
      <c r="AH4" s="9" t="s">
        <v>225</v>
      </c>
      <c r="AI4" s="9" t="s">
        <v>226</v>
      </c>
      <c r="AJ4" s="9" t="s">
        <v>227</v>
      </c>
      <c r="AK4" s="9" t="s">
        <v>228</v>
      </c>
      <c r="AL4" s="9" t="s">
        <v>229</v>
      </c>
      <c r="AM4" s="9" t="s">
        <v>230</v>
      </c>
      <c r="AN4" s="9" t="s">
        <v>231</v>
      </c>
      <c r="AO4" s="9" t="s">
        <v>232</v>
      </c>
      <c r="AP4" s="9" t="s">
        <v>233</v>
      </c>
      <c r="AQ4" s="9" t="s">
        <v>234</v>
      </c>
      <c r="AR4" s="9" t="s">
        <v>235</v>
      </c>
      <c r="AS4" s="9" t="s">
        <v>236</v>
      </c>
      <c r="AT4" s="9" t="s">
        <v>237</v>
      </c>
      <c r="AU4" s="9" t="s">
        <v>238</v>
      </c>
      <c r="AV4" s="9" t="s">
        <v>239</v>
      </c>
      <c r="AW4" s="9" t="s">
        <v>240</v>
      </c>
      <c r="AX4" s="9" t="s">
        <v>241</v>
      </c>
      <c r="AY4" s="9" t="s">
        <v>242</v>
      </c>
      <c r="AZ4" s="9" t="s">
        <v>243</v>
      </c>
      <c r="BA4" s="9" t="s">
        <v>244</v>
      </c>
      <c r="BB4" s="9" t="s">
        <v>245</v>
      </c>
      <c r="BC4" s="9" t="s">
        <v>246</v>
      </c>
      <c r="BD4" s="9" t="s">
        <v>247</v>
      </c>
      <c r="BE4" s="9" t="s">
        <v>248</v>
      </c>
      <c r="BF4" s="9" t="s">
        <v>249</v>
      </c>
      <c r="BG4" s="9" t="s">
        <v>250</v>
      </c>
      <c r="BH4" s="9" t="s">
        <v>251</v>
      </c>
      <c r="BI4" s="9" t="s">
        <v>252</v>
      </c>
      <c r="BJ4" s="9" t="s">
        <v>253</v>
      </c>
      <c r="BK4" s="9" t="s">
        <v>254</v>
      </c>
      <c r="BL4" s="9" t="s">
        <v>255</v>
      </c>
    </row>
    <row r="5" customFormat="false" ht="15" hidden="false" customHeight="false" outlineLevel="0" collapsed="false">
      <c r="A5" s="3" t="s">
        <v>256</v>
      </c>
      <c r="B5" s="38" t="n">
        <v>1</v>
      </c>
      <c r="C5" s="38" t="n">
        <v>1</v>
      </c>
      <c r="D5" s="38" t="n">
        <v>1</v>
      </c>
      <c r="E5" s="38" t="n">
        <v>1</v>
      </c>
      <c r="F5" s="39" t="n">
        <f aca="false">LamaDev</f>
        <v>12</v>
      </c>
      <c r="G5" s="40" t="n">
        <f aca="false">($F5-LamaDev)/12</f>
        <v>0</v>
      </c>
      <c r="H5" s="41" t="n">
        <f aca="false">BiayaOrang</f>
        <v>15.4145333333333</v>
      </c>
      <c r="I5" s="25" t="n">
        <f aca="false">-(Capex-TimInti*BiayaOrang*LamaDev+TimInti*$H5*$F5)</f>
        <v>-1274.872</v>
      </c>
      <c r="J5" s="25" t="n">
        <f aca="false">(Asumsi!$B$25*$D5*UkuranKlien+0*$D5*UkuranKlien*Penggantian)*(Harga*$B5-HPP*$C5)/1000000+SUM(Asumsi!$B$25)*$D5*Lisensi+Asumsi!$B$25*$D5*Implementasi-(Asumsi!$B$33*$H5*12+Asumsi!$C$33)*$E5</f>
        <v>-204.872</v>
      </c>
      <c r="K5" s="25" t="n">
        <f aca="false">(Asumsi!$B$26*$D5*UkuranKlien+SUM(Asumsi!$B$25)*$D5*UkuranKlien*Penggantian)*(Harga*$B5-HPP*$C5)/1000000+SUM(Asumsi!$B$25:$B$26)*$D5*Lisensi+Asumsi!$B$26*$D5*Implementasi-(Asumsi!$B$34*$H5*12+Asumsi!$C$34)*$E5</f>
        <v>495.1536</v>
      </c>
      <c r="L5" s="25" t="n">
        <f aca="false">(Asumsi!$B$27*$D5*UkuranKlien+SUM(Asumsi!$B$25:$B$26)*$D5*UkuranKlien*Penggantian)*(Harga*$B5-HPP*$C5)/1000000+SUM(Asumsi!$B$25:$B$27)*$D5*Lisensi+Asumsi!$B$27*$D5*Implementasi-(Asumsi!$B$35*$H5*12+Asumsi!$C$35)*$E5</f>
        <v>1262.6792</v>
      </c>
      <c r="M5" s="25" t="n">
        <f aca="false">(Asumsi!$B$28*$D5*UkuranKlien+SUM(Asumsi!$B$25:$B$27)*$D5*UkuranKlien*Penggantian)*(Harga*$B5-HPP*$C5)/1000000+SUM(Asumsi!$B$25:$B$28)*$D5*Lisensi+Asumsi!$B$28*$D5*Implementasi-(Asumsi!$B$36*$H5*12+Asumsi!$C$36)*$E5</f>
        <v>2197.7048</v>
      </c>
      <c r="N5" s="25" t="n">
        <f aca="false">(Asumsi!$B$29*$D5*UkuranKlien+SUM(Asumsi!$B$25:$B$28)*$D5*UkuranKlien*Penggantian)*(Harga*$B5-HPP*$C5)/1000000+SUM(Asumsi!$B$25:$B$29)*$D5*Lisensi+Asumsi!$B$29*$D5*Implementasi-(Asumsi!$B$37*$H5*12+Asumsi!$C$37)*$E5</f>
        <v>3300.2304</v>
      </c>
      <c r="O5" s="32" t="n">
        <f aca="false">I5+NPV(Diskonto,J5:N5)/(1+Diskonto)^$G5</f>
        <v>3105.01059409677</v>
      </c>
      <c r="P5" s="32" t="n">
        <f aca="false">I5+NPV(Diskonto,BH5:BL5)/(1+Diskonto)^$G5</f>
        <v>2563.42904014317</v>
      </c>
      <c r="Q5" s="33" t="n">
        <f aca="false">IFERROR(XIRR(I5:N5,AF5:AK5),"negatif")</f>
        <v>0.514833219753666</v>
      </c>
      <c r="R5" s="34" t="n">
        <f aca="false">IF(COUNT(AA5:AE5)=0,"Tidak tercapai",MIN(AA5:AE5))</f>
        <v>2.77976290414858</v>
      </c>
      <c r="S5" s="25" t="n">
        <f aca="false">MIN(U5:Z5)</f>
        <v>-1479.744</v>
      </c>
      <c r="T5" s="25" t="n">
        <f aca="false">-I5+MAX(0,-J5)+CadanganBulan/12*(Asumsi!$B$33*$H5*12+Asumsi!$C$33)*$E5</f>
        <v>1835.962</v>
      </c>
      <c r="U5" s="42" t="n">
        <f aca="false">I5</f>
        <v>-1274.872</v>
      </c>
      <c r="V5" s="42" t="n">
        <f aca="false">U5+J5</f>
        <v>-1479.744</v>
      </c>
      <c r="W5" s="42" t="n">
        <f aca="false">V5+K5</f>
        <v>-984.5904</v>
      </c>
      <c r="X5" s="42" t="n">
        <f aca="false">W5+L5</f>
        <v>278.0888</v>
      </c>
      <c r="Y5" s="42" t="n">
        <f aca="false">X5+M5</f>
        <v>2475.7936</v>
      </c>
      <c r="Z5" s="42" t="n">
        <f aca="false">Y5+N5</f>
        <v>5776.024</v>
      </c>
      <c r="AA5" s="36" t="str">
        <f aca="false">IF(AND(U5&lt;0,V5&gt;=0),AA$3+(-U5)/J5,"")</f>
        <v/>
      </c>
      <c r="AB5" s="36" t="str">
        <f aca="false">IF(AND(V5&lt;0,W5&gt;=0),AB$3+(-V5)/K5,"")</f>
        <v/>
      </c>
      <c r="AC5" s="36" t="n">
        <f aca="false">IF(AND(W5&lt;0,X5&gt;=0),AC$3+(-W5)/L5,"")</f>
        <v>2.77976290414858</v>
      </c>
      <c r="AD5" s="36" t="str">
        <f aca="false">IF(AND(X5&lt;0,Y5&gt;=0),AD$3+(-X5)/M5,"")</f>
        <v/>
      </c>
      <c r="AE5" s="36" t="str">
        <f aca="false">IF(AND(Y5&lt;0,Z5&gt;=0),AE$3+(-Y5)/N5,"")</f>
        <v/>
      </c>
      <c r="AF5" s="43" t="n">
        <f aca="false">DATE(2027,1,1)</f>
        <v>46388</v>
      </c>
      <c r="AG5" s="43" t="n">
        <f aca="false">$AF5+ROUND(365*(1+$G5),0)</f>
        <v>46753</v>
      </c>
      <c r="AH5" s="43" t="n">
        <f aca="false">$AF5+ROUND(365*(2+$G5),0)</f>
        <v>47118</v>
      </c>
      <c r="AI5" s="43" t="n">
        <f aca="false">$AF5+ROUND(365*(3+$G5),0)</f>
        <v>47483</v>
      </c>
      <c r="AJ5" s="43" t="n">
        <f aca="false">$AF5+ROUND(365*(4+$G5),0)</f>
        <v>47848</v>
      </c>
      <c r="AK5" s="43" t="n">
        <f aca="false">$AF5+ROUND(365*(5+$G5),0)</f>
        <v>48213</v>
      </c>
      <c r="AL5" s="42" t="n">
        <f aca="false">(Asumsi!$B$25*$D5*UkuranKlien+0*$D5*UkuranKlien*Penggantian)*Harga*$B5/1000000+SUM(Asumsi!$B$25)*$D5*Lisensi+Asumsi!$B$25*$D5*Implementasi</f>
        <v>2120</v>
      </c>
      <c r="AM5" s="42" t="n">
        <f aca="false">(Asumsi!$B$26*$D5*UkuranKlien+SUM(Asumsi!$B$25)*$D5*UkuranKlien*Penggantian)*Harga*$B5/1000000+SUM(Asumsi!$B$25:$B$26)*$D5*Lisensi+Asumsi!$B$26*$D5*Implementasi</f>
        <v>3650</v>
      </c>
      <c r="AN5" s="42" t="n">
        <f aca="false">(Asumsi!$B$27*$D5*UkuranKlien+SUM(Asumsi!$B$25:$B$26)*$D5*UkuranKlien*Penggantian)*Harga*$B5/1000000+SUM(Asumsi!$B$25:$B$27)*$D5*Lisensi+Asumsi!$B$27*$D5*Implementasi</f>
        <v>5415</v>
      </c>
      <c r="AO5" s="42" t="n">
        <f aca="false">(Asumsi!$B$28*$D5*UkuranKlien+SUM(Asumsi!$B$25:$B$27)*$D5*UkuranKlien*Penggantian)*Harga*$B5/1000000+SUM(Asumsi!$B$25:$B$28)*$D5*Lisensi+Asumsi!$B$28*$D5*Implementasi</f>
        <v>7415</v>
      </c>
      <c r="AP5" s="42" t="n">
        <f aca="false">(Asumsi!$B$29*$D5*UkuranKlien+SUM(Asumsi!$B$25:$B$28)*$D5*UkuranKlien*Penggantian)*Harga*$B5/1000000+SUM(Asumsi!$B$25:$B$29)*$D5*Lisensi+Asumsi!$B$29*$D5*Implementasi</f>
        <v>9650</v>
      </c>
      <c r="AQ5" s="42" t="n">
        <f aca="false">I5/MasaAmortisasi</f>
        <v>-318.718</v>
      </c>
      <c r="AR5" s="42" t="n">
        <f aca="false">J5+IF(1&lt;MasaAmortisasi,I5/MasaAmortisasi,0)</f>
        <v>-523.59</v>
      </c>
      <c r="AS5" s="42" t="n">
        <f aca="false">K5+IF(2&lt;MasaAmortisasi,I5/MasaAmortisasi,0)</f>
        <v>176.4356</v>
      </c>
      <c r="AT5" s="42" t="n">
        <f aca="false">L5+IF(3&lt;MasaAmortisasi,I5/MasaAmortisasi,0)</f>
        <v>943.9612</v>
      </c>
      <c r="AU5" s="42" t="n">
        <f aca="false">M5+IF(4&lt;MasaAmortisasi,I5/MasaAmortisasi,0)</f>
        <v>2197.7048</v>
      </c>
      <c r="AV5" s="42" t="n">
        <f aca="false">N5+IF(5&lt;MasaAmortisasi,I5/MasaAmortisasi,0)</f>
        <v>3300.2304</v>
      </c>
      <c r="AW5" s="42" t="n">
        <f aca="false">MAX(0,-AQ5)</f>
        <v>318.718</v>
      </c>
      <c r="AX5" s="42" t="n">
        <f aca="false">MAX(0,AW5-AR5)</f>
        <v>842.308</v>
      </c>
      <c r="AY5" s="42" t="n">
        <f aca="false">MAX(0,AX5-AS5)</f>
        <v>665.8724</v>
      </c>
      <c r="AZ5" s="42" t="n">
        <f aca="false">MAX(0,AY5-AT5)</f>
        <v>0</v>
      </c>
      <c r="BA5" s="42" t="n">
        <f aca="false">MAX(0,AZ5-AU5)</f>
        <v>0</v>
      </c>
      <c r="BB5" s="42" t="n">
        <f aca="false">MAX(0,BA5-AV5)</f>
        <v>0</v>
      </c>
      <c r="BC5" s="42" t="n">
        <f aca="false">MAX(0,AR5-AW5)*IF(AL5&lt;=BatasOmzet31E,TarifPPh*(1-Potongan31E*MIN(1,Omzet31E/MAX(AL5,0.000001))),TarifPPh)</f>
        <v>0</v>
      </c>
      <c r="BD5" s="42" t="n">
        <f aca="false">MAX(0,AS5-AX5)*IF(AM5&lt;=BatasOmzet31E,TarifPPh*(1-Potongan31E*MIN(1,Omzet31E/MAX(AM5,0.000001))),TarifPPh)</f>
        <v>0</v>
      </c>
      <c r="BE5" s="42" t="n">
        <f aca="false">MAX(0,AT5-AY5)*IF(AN5&lt;=BatasOmzet31E,TarifPPh*(1-Potongan31E*MIN(1,Omzet31E/MAX(AN5,0.000001))),TarifPPh)</f>
        <v>34.0639521772854</v>
      </c>
      <c r="BF5" s="42" t="n">
        <f aca="false">MAX(0,AU5-AZ5)*IF(AO5&lt;=BatasOmzet31E,TarifPPh*(1-Potongan31E*MIN(1,Omzet31E/MAX(AO5,0.000001))),TarifPPh)</f>
        <v>327.003062149697</v>
      </c>
      <c r="BG5" s="42" t="n">
        <f aca="false">MAX(0,AV5-BA5)*IF(AP5&lt;=BatasOmzet31E,TarifPPh*(1-Potongan31E*MIN(1,Omzet31E/MAX(AP5,0.000001))),TarifPPh)</f>
        <v>545.478496165803</v>
      </c>
      <c r="BH5" s="42" t="n">
        <f aca="false">J5-BC5</f>
        <v>-204.872</v>
      </c>
      <c r="BI5" s="42" t="n">
        <f aca="false">K5-BD5</f>
        <v>495.1536</v>
      </c>
      <c r="BJ5" s="42" t="n">
        <f aca="false">L5-BE5</f>
        <v>1228.61524782271</v>
      </c>
      <c r="BK5" s="42" t="n">
        <f aca="false">M5-BF5</f>
        <v>1870.7017378503</v>
      </c>
      <c r="BL5" s="42" t="n">
        <f aca="false">N5-BG5</f>
        <v>2754.7519038342</v>
      </c>
    </row>
    <row r="6" customFormat="false" ht="15" hidden="false" customHeight="false" outlineLevel="0" collapsed="false">
      <c r="A6" s="4" t="s">
        <v>257</v>
      </c>
      <c r="B6" s="44" t="n">
        <f aca="false">75000/Harga</f>
        <v>0.833333333333333</v>
      </c>
      <c r="C6" s="38" t="n">
        <v>1</v>
      </c>
      <c r="D6" s="38" t="n">
        <v>1</v>
      </c>
      <c r="E6" s="38" t="n">
        <v>1</v>
      </c>
      <c r="F6" s="39" t="n">
        <f aca="false">LamaDev</f>
        <v>12</v>
      </c>
      <c r="G6" s="40" t="n">
        <f aca="false">($F6-LamaDev)/12</f>
        <v>0</v>
      </c>
      <c r="H6" s="41" t="n">
        <f aca="false">BiayaOrang</f>
        <v>15.4145333333333</v>
      </c>
      <c r="I6" s="25" t="n">
        <f aca="false">-(Capex-TimInti*BiayaOrang*LamaDev+TimInti*$H6*$F6)</f>
        <v>-1274.872</v>
      </c>
      <c r="J6" s="25" t="n">
        <f aca="false">(Asumsi!$B$25*$D6*UkuranKlien+0*$D6*UkuranKlien*Penggantian)*(Harga*$B6-HPP*$C6)/1000000+SUM(Asumsi!$B$25)*$D6*Lisensi+Asumsi!$B$25*$D6*Implementasi-(Asumsi!$B$33*$H6*12+Asumsi!$C$33)*$E6</f>
        <v>-504.872</v>
      </c>
      <c r="K6" s="25" t="n">
        <f aca="false">(Asumsi!$B$26*$D6*UkuranKlien+SUM(Asumsi!$B$25)*$D6*UkuranKlien*Penggantian)*(Harga*$B6-HPP*$C6)/1000000+SUM(Asumsi!$B$25:$B$26)*$D6*Lisensi+Asumsi!$B$26*$D6*Implementasi-(Asumsi!$B$34*$H6*12+Asumsi!$C$34)*$E6</f>
        <v>0.153600000000097</v>
      </c>
      <c r="L6" s="25" t="n">
        <f aca="false">(Asumsi!$B$27*$D6*UkuranKlien+SUM(Asumsi!$B$25:$B$26)*$D6*UkuranKlien*Penggantian)*(Harga*$B6-HPP*$C6)/1000000+SUM(Asumsi!$B$25:$B$27)*$D6*Lisensi+Asumsi!$B$27*$D6*Implementasi-(Asumsi!$B$35*$H6*12+Asumsi!$C$35)*$E6</f>
        <v>550.1792</v>
      </c>
      <c r="M6" s="25" t="n">
        <f aca="false">(Asumsi!$B$28*$D6*UkuranKlien+SUM(Asumsi!$B$25:$B$27)*$D6*UkuranKlien*Penggantian)*(Harga*$B6-HPP*$C6)/1000000+SUM(Asumsi!$B$25:$B$28)*$D6*Lisensi+Asumsi!$B$28*$D6*Implementasi-(Asumsi!$B$36*$H6*12+Asumsi!$C$36)*$E6</f>
        <v>1245.2048</v>
      </c>
      <c r="N6" s="25" t="n">
        <f aca="false">(Asumsi!$B$29*$D6*UkuranKlien+SUM(Asumsi!$B$25:$B$28)*$D6*UkuranKlien*Penggantian)*(Harga*$B6-HPP*$C6)/1000000+SUM(Asumsi!$B$25:$B$29)*$D6*Lisensi+Asumsi!$B$29*$D6*Implementasi-(Asumsi!$B$37*$H6*12+Asumsi!$C$37)*$E6</f>
        <v>2085.2304</v>
      </c>
      <c r="O6" s="25" t="n">
        <f aca="false">I6+NPV(Diskonto,J6:N6)/(1+Diskonto)^$G6</f>
        <v>640.644455906114</v>
      </c>
      <c r="P6" s="25" t="n">
        <f aca="false">I6+NPV(Diskonto,BH6:BL6)/(1+Diskonto)^$G6</f>
        <v>453.013839491819</v>
      </c>
      <c r="Q6" s="33" t="n">
        <f aca="false">IFERROR(XIRR(I6:N6,AF6:AK6),"negatif")</f>
        <v>0.210598771220345</v>
      </c>
      <c r="R6" s="34" t="n">
        <f aca="false">IF(COUNT(AA6:AE6)=0,"Tidak tercapai",MIN(AA6:AE6))</f>
        <v>3.98731646392626</v>
      </c>
      <c r="S6" s="25" t="n">
        <f aca="false">MIN(U6:Z6)</f>
        <v>-1779.744</v>
      </c>
      <c r="T6" s="25" t="n">
        <f aca="false">-I6+MAX(0,-J6)+CadanganBulan/12*(Asumsi!$B$33*$H6*12+Asumsi!$C$33)*$E6</f>
        <v>2135.962</v>
      </c>
      <c r="U6" s="42" t="n">
        <f aca="false">I6</f>
        <v>-1274.872</v>
      </c>
      <c r="V6" s="42" t="n">
        <f aca="false">U6+J6</f>
        <v>-1779.744</v>
      </c>
      <c r="W6" s="42" t="n">
        <f aca="false">V6+K6</f>
        <v>-1779.5904</v>
      </c>
      <c r="X6" s="42" t="n">
        <f aca="false">W6+L6</f>
        <v>-1229.4112</v>
      </c>
      <c r="Y6" s="42" t="n">
        <f aca="false">X6+M6</f>
        <v>15.7936000000004</v>
      </c>
      <c r="Z6" s="42" t="n">
        <f aca="false">Y6+N6</f>
        <v>2101.024</v>
      </c>
      <c r="AA6" s="36" t="str">
        <f aca="false">IF(AND(U6&lt;0,V6&gt;=0),AA$3+(-U6)/J6,"")</f>
        <v/>
      </c>
      <c r="AB6" s="36" t="str">
        <f aca="false">IF(AND(V6&lt;0,W6&gt;=0),AB$3+(-V6)/K6,"")</f>
        <v/>
      </c>
      <c r="AC6" s="36" t="str">
        <f aca="false">IF(AND(W6&lt;0,X6&gt;=0),AC$3+(-W6)/L6,"")</f>
        <v/>
      </c>
      <c r="AD6" s="36" t="n">
        <f aca="false">IF(AND(X6&lt;0,Y6&gt;=0),AD$3+(-X6)/M6,"")</f>
        <v>3.98731646392626</v>
      </c>
      <c r="AE6" s="36" t="str">
        <f aca="false">IF(AND(Y6&lt;0,Z6&gt;=0),AE$3+(-Y6)/N6,"")</f>
        <v/>
      </c>
      <c r="AF6" s="43" t="n">
        <f aca="false">DATE(2027,1,1)</f>
        <v>46388</v>
      </c>
      <c r="AG6" s="43" t="n">
        <f aca="false">$AF6+ROUND(365*(1+$G6),0)</f>
        <v>46753</v>
      </c>
      <c r="AH6" s="43" t="n">
        <f aca="false">$AF6+ROUND(365*(2+$G6),0)</f>
        <v>47118</v>
      </c>
      <c r="AI6" s="43" t="n">
        <f aca="false">$AF6+ROUND(365*(3+$G6),0)</f>
        <v>47483</v>
      </c>
      <c r="AJ6" s="43" t="n">
        <f aca="false">$AF6+ROUND(365*(4+$G6),0)</f>
        <v>47848</v>
      </c>
      <c r="AK6" s="43" t="n">
        <f aca="false">$AF6+ROUND(365*(5+$G6),0)</f>
        <v>48213</v>
      </c>
      <c r="AL6" s="42" t="n">
        <f aca="false">(Asumsi!$B$25*$D6*UkuranKlien+0*$D6*UkuranKlien*Penggantian)*Harga*$B6/1000000+SUM(Asumsi!$B$25)*$D6*Lisensi+Asumsi!$B$25*$D6*Implementasi</f>
        <v>1820</v>
      </c>
      <c r="AM6" s="42" t="n">
        <f aca="false">(Asumsi!$B$26*$D6*UkuranKlien+SUM(Asumsi!$B$25)*$D6*UkuranKlien*Penggantian)*Harga*$B6/1000000+SUM(Asumsi!$B$25:$B$26)*$D6*Lisensi+Asumsi!$B$26*$D6*Implementasi</f>
        <v>3155</v>
      </c>
      <c r="AN6" s="42" t="n">
        <f aca="false">(Asumsi!$B$27*$D6*UkuranKlien+SUM(Asumsi!$B$25:$B$26)*$D6*UkuranKlien*Penggantian)*Harga*$B6/1000000+SUM(Asumsi!$B$25:$B$27)*$D6*Lisensi+Asumsi!$B$27*$D6*Implementasi</f>
        <v>4702.5</v>
      </c>
      <c r="AO6" s="42" t="n">
        <f aca="false">(Asumsi!$B$28*$D6*UkuranKlien+SUM(Asumsi!$B$25:$B$27)*$D6*UkuranKlien*Penggantian)*Harga*$B6/1000000+SUM(Asumsi!$B$25:$B$28)*$D6*Lisensi+Asumsi!$B$28*$D6*Implementasi</f>
        <v>6462.5</v>
      </c>
      <c r="AP6" s="42" t="n">
        <f aca="false">(Asumsi!$B$29*$D6*UkuranKlien+SUM(Asumsi!$B$25:$B$28)*$D6*UkuranKlien*Penggantian)*Harga*$B6/1000000+SUM(Asumsi!$B$25:$B$29)*$D6*Lisensi+Asumsi!$B$29*$D6*Implementasi</f>
        <v>8435</v>
      </c>
      <c r="AQ6" s="42" t="n">
        <f aca="false">I6/MasaAmortisasi</f>
        <v>-318.718</v>
      </c>
      <c r="AR6" s="42" t="n">
        <f aca="false">J6+IF(1&lt;MasaAmortisasi,I6/MasaAmortisasi,0)</f>
        <v>-823.59</v>
      </c>
      <c r="AS6" s="42" t="n">
        <f aca="false">K6+IF(2&lt;MasaAmortisasi,I6/MasaAmortisasi,0)</f>
        <v>-318.5644</v>
      </c>
      <c r="AT6" s="42" t="n">
        <f aca="false">L6+IF(3&lt;MasaAmortisasi,I6/MasaAmortisasi,0)</f>
        <v>231.4612</v>
      </c>
      <c r="AU6" s="42" t="n">
        <f aca="false">M6+IF(4&lt;MasaAmortisasi,I6/MasaAmortisasi,0)</f>
        <v>1245.2048</v>
      </c>
      <c r="AV6" s="42" t="n">
        <f aca="false">N6+IF(5&lt;MasaAmortisasi,I6/MasaAmortisasi,0)</f>
        <v>2085.2304</v>
      </c>
      <c r="AW6" s="42" t="n">
        <f aca="false">MAX(0,-AQ6)</f>
        <v>318.718</v>
      </c>
      <c r="AX6" s="42" t="n">
        <f aca="false">MAX(0,AW6-AR6)</f>
        <v>1142.308</v>
      </c>
      <c r="AY6" s="42" t="n">
        <f aca="false">MAX(0,AX6-AS6)</f>
        <v>1460.8724</v>
      </c>
      <c r="AZ6" s="42" t="n">
        <f aca="false">MAX(0,AY6-AT6)</f>
        <v>1229.4112</v>
      </c>
      <c r="BA6" s="42" t="n">
        <f aca="false">MAX(0,AZ6-AU6)</f>
        <v>0</v>
      </c>
      <c r="BB6" s="42" t="n">
        <f aca="false">MAX(0,BA6-AV6)</f>
        <v>0</v>
      </c>
      <c r="BC6" s="42" t="n">
        <f aca="false">MAX(0,AR6-AW6)*IF(AL6&lt;=BatasOmzet31E,TarifPPh*(1-Potongan31E*MIN(1,Omzet31E/MAX(AL6,0.000001))),TarifPPh)</f>
        <v>0</v>
      </c>
      <c r="BD6" s="42" t="n">
        <f aca="false">MAX(0,AS6-AX6)*IF(AM6&lt;=BatasOmzet31E,TarifPPh*(1-Potongan31E*MIN(1,Omzet31E/MAX(AM6,0.000001))),TarifPPh)</f>
        <v>0</v>
      </c>
      <c r="BE6" s="42" t="n">
        <f aca="false">MAX(0,AT6-AY6)*IF(AN6&lt;=BatasOmzet31E,TarifPPh*(1-Potongan31E*MIN(1,Omzet31E/MAX(AN6,0.000001))),TarifPPh)</f>
        <v>0</v>
      </c>
      <c r="BF6" s="42" t="n">
        <f aca="false">MAX(0,AU6-AZ6)*IF(AO6&lt;=BatasOmzet31E,TarifPPh*(1-Potongan31E*MIN(1,Omzet31E/MAX(AO6,0.000001))),TarifPPh)</f>
        <v>2.1842212765958</v>
      </c>
      <c r="BG6" s="42" t="n">
        <f aca="false">MAX(0,AV6-BA6)*IF(AP6&lt;=BatasOmzet31E,TarifPPh*(1-Potongan31E*MIN(1,Omzet31E/MAX(AP6,0.000001))),TarifPPh)</f>
        <v>328.222928521636</v>
      </c>
      <c r="BH6" s="42" t="n">
        <f aca="false">J6-BC6</f>
        <v>-504.872</v>
      </c>
      <c r="BI6" s="42" t="n">
        <f aca="false">K6-BD6</f>
        <v>0.153600000000097</v>
      </c>
      <c r="BJ6" s="42" t="n">
        <f aca="false">L6-BE6</f>
        <v>550.1792</v>
      </c>
      <c r="BK6" s="42" t="n">
        <f aca="false">M6-BF6</f>
        <v>1243.0205787234</v>
      </c>
      <c r="BL6" s="42" t="n">
        <f aca="false">N6-BG6</f>
        <v>1757.00747147836</v>
      </c>
    </row>
    <row r="7" customFormat="false" ht="15" hidden="false" customHeight="false" outlineLevel="0" collapsed="false">
      <c r="A7" s="4" t="s">
        <v>258</v>
      </c>
      <c r="B7" s="38" t="n">
        <v>0.8</v>
      </c>
      <c r="C7" s="38" t="n">
        <v>1</v>
      </c>
      <c r="D7" s="38" t="n">
        <v>1</v>
      </c>
      <c r="E7" s="38" t="n">
        <v>1</v>
      </c>
      <c r="F7" s="39" t="n">
        <f aca="false">LamaDev</f>
        <v>12</v>
      </c>
      <c r="G7" s="40" t="n">
        <f aca="false">($F7-LamaDev)/12</f>
        <v>0</v>
      </c>
      <c r="H7" s="41" t="n">
        <f aca="false">BiayaOrang</f>
        <v>15.4145333333333</v>
      </c>
      <c r="I7" s="25" t="n">
        <f aca="false">-(Capex-TimInti*BiayaOrang*LamaDev+TimInti*$H7*$F7)</f>
        <v>-1274.872</v>
      </c>
      <c r="J7" s="25" t="n">
        <f aca="false">(Asumsi!$B$25*$D7*UkuranKlien+0*$D7*UkuranKlien*Penggantian)*(Harga*$B7-HPP*$C7)/1000000+SUM(Asumsi!$B$25)*$D7*Lisensi+Asumsi!$B$25*$D7*Implementasi-(Asumsi!$B$33*$H7*12+Asumsi!$C$33)*$E7</f>
        <v>-564.872</v>
      </c>
      <c r="K7" s="25" t="n">
        <f aca="false">(Asumsi!$B$26*$D7*UkuranKlien+SUM(Asumsi!$B$25)*$D7*UkuranKlien*Penggantian)*(Harga*$B7-HPP*$C7)/1000000+SUM(Asumsi!$B$25:$B$26)*$D7*Lisensi+Asumsi!$B$26*$D7*Implementasi-(Asumsi!$B$34*$H7*12+Asumsi!$C$34)*$E7</f>
        <v>-98.8463999999999</v>
      </c>
      <c r="L7" s="25" t="n">
        <f aca="false">(Asumsi!$B$27*$D7*UkuranKlien+SUM(Asumsi!$B$25:$B$26)*$D7*UkuranKlien*Penggantian)*(Harga*$B7-HPP*$C7)/1000000+SUM(Asumsi!$B$25:$B$27)*$D7*Lisensi+Asumsi!$B$27*$D7*Implementasi-(Asumsi!$B$35*$H7*12+Asumsi!$C$35)*$E7</f>
        <v>407.6792</v>
      </c>
      <c r="M7" s="25" t="n">
        <f aca="false">(Asumsi!$B$28*$D7*UkuranKlien+SUM(Asumsi!$B$25:$B$27)*$D7*UkuranKlien*Penggantian)*(Harga*$B7-HPP*$C7)/1000000+SUM(Asumsi!$B$25:$B$28)*$D7*Lisensi+Asumsi!$B$28*$D7*Implementasi-(Asumsi!$B$36*$H7*12+Asumsi!$C$36)*$E7</f>
        <v>1054.7048</v>
      </c>
      <c r="N7" s="25" t="n">
        <f aca="false">(Asumsi!$B$29*$D7*UkuranKlien+SUM(Asumsi!$B$25:$B$28)*$D7*UkuranKlien*Penggantian)*(Harga*$B7-HPP*$C7)/1000000+SUM(Asumsi!$B$25:$B$29)*$D7*Lisensi+Asumsi!$B$29*$D7*Implementasi-(Asumsi!$B$37*$H7*12+Asumsi!$C$37)*$E7</f>
        <v>1842.2304</v>
      </c>
      <c r="O7" s="25" t="n">
        <f aca="false">I7+NPV(Diskonto,J7:N7)/(1+Diskonto)^$G7</f>
        <v>147.771228267984</v>
      </c>
      <c r="P7" s="25" t="n">
        <f aca="false">I7+NPV(Diskonto,BH7:BL7)/(1+Diskonto)^$G7</f>
        <v>27.2039362379926</v>
      </c>
      <c r="Q7" s="33" t="n">
        <f aca="false">IFERROR(XIRR(I7:N7,AF7:AK7),"negatif")</f>
        <v>0.141535008967245</v>
      </c>
      <c r="R7" s="34" t="n">
        <f aca="false">IF(COUNT(AA7:AE7)=0,"Tidak tercapai",MIN(AA7:AE7))</f>
        <v>4.25849448581459</v>
      </c>
      <c r="S7" s="25" t="n">
        <f aca="false">MIN(U7:Z7)</f>
        <v>-1938.5904</v>
      </c>
      <c r="T7" s="25" t="n">
        <f aca="false">-I7+MAX(0,-J7)+CadanganBulan/12*(Asumsi!$B$33*$H7*12+Asumsi!$C$33)*$E7</f>
        <v>2195.962</v>
      </c>
      <c r="U7" s="42" t="n">
        <f aca="false">I7</f>
        <v>-1274.872</v>
      </c>
      <c r="V7" s="42" t="n">
        <f aca="false">U7+J7</f>
        <v>-1839.744</v>
      </c>
      <c r="W7" s="42" t="n">
        <f aca="false">V7+K7</f>
        <v>-1938.5904</v>
      </c>
      <c r="X7" s="42" t="n">
        <f aca="false">W7+L7</f>
        <v>-1530.9112</v>
      </c>
      <c r="Y7" s="42" t="n">
        <f aca="false">X7+M7</f>
        <v>-476.2064</v>
      </c>
      <c r="Z7" s="42" t="n">
        <f aca="false">Y7+N7</f>
        <v>1366.024</v>
      </c>
      <c r="AA7" s="36" t="str">
        <f aca="false">IF(AND(U7&lt;0,V7&gt;=0),AA$3+(-U7)/J7,"")</f>
        <v/>
      </c>
      <c r="AB7" s="36" t="str">
        <f aca="false">IF(AND(V7&lt;0,W7&gt;=0),AB$3+(-V7)/K7,"")</f>
        <v/>
      </c>
      <c r="AC7" s="36" t="str">
        <f aca="false">IF(AND(W7&lt;0,X7&gt;=0),AC$3+(-W7)/L7,"")</f>
        <v/>
      </c>
      <c r="AD7" s="36" t="str">
        <f aca="false">IF(AND(X7&lt;0,Y7&gt;=0),AD$3+(-X7)/M7,"")</f>
        <v/>
      </c>
      <c r="AE7" s="36" t="n">
        <f aca="false">IF(AND(Y7&lt;0,Z7&gt;=0),AE$3+(-Y7)/N7,"")</f>
        <v>4.25849448581459</v>
      </c>
      <c r="AF7" s="43" t="n">
        <f aca="false">DATE(2027,1,1)</f>
        <v>46388</v>
      </c>
      <c r="AG7" s="43" t="n">
        <f aca="false">$AF7+ROUND(365*(1+$G7),0)</f>
        <v>46753</v>
      </c>
      <c r="AH7" s="43" t="n">
        <f aca="false">$AF7+ROUND(365*(2+$G7),0)</f>
        <v>47118</v>
      </c>
      <c r="AI7" s="43" t="n">
        <f aca="false">$AF7+ROUND(365*(3+$G7),0)</f>
        <v>47483</v>
      </c>
      <c r="AJ7" s="43" t="n">
        <f aca="false">$AF7+ROUND(365*(4+$G7),0)</f>
        <v>47848</v>
      </c>
      <c r="AK7" s="43" t="n">
        <f aca="false">$AF7+ROUND(365*(5+$G7),0)</f>
        <v>48213</v>
      </c>
      <c r="AL7" s="42" t="n">
        <f aca="false">(Asumsi!$B$25*$D7*UkuranKlien+0*$D7*UkuranKlien*Penggantian)*Harga*$B7/1000000+SUM(Asumsi!$B$25)*$D7*Lisensi+Asumsi!$B$25*$D7*Implementasi</f>
        <v>1760</v>
      </c>
      <c r="AM7" s="42" t="n">
        <f aca="false">(Asumsi!$B$26*$D7*UkuranKlien+SUM(Asumsi!$B$25)*$D7*UkuranKlien*Penggantian)*Harga*$B7/1000000+SUM(Asumsi!$B$25:$B$26)*$D7*Lisensi+Asumsi!$B$26*$D7*Implementasi</f>
        <v>3056</v>
      </c>
      <c r="AN7" s="42" t="n">
        <f aca="false">(Asumsi!$B$27*$D7*UkuranKlien+SUM(Asumsi!$B$25:$B$26)*$D7*UkuranKlien*Penggantian)*Harga*$B7/1000000+SUM(Asumsi!$B$25:$B$27)*$D7*Lisensi+Asumsi!$B$27*$D7*Implementasi</f>
        <v>4560</v>
      </c>
      <c r="AO7" s="42" t="n">
        <f aca="false">(Asumsi!$B$28*$D7*UkuranKlien+SUM(Asumsi!$B$25:$B$27)*$D7*UkuranKlien*Penggantian)*Harga*$B7/1000000+SUM(Asumsi!$B$25:$B$28)*$D7*Lisensi+Asumsi!$B$28*$D7*Implementasi</f>
        <v>6272</v>
      </c>
      <c r="AP7" s="42" t="n">
        <f aca="false">(Asumsi!$B$29*$D7*UkuranKlien+SUM(Asumsi!$B$25:$B$28)*$D7*UkuranKlien*Penggantian)*Harga*$B7/1000000+SUM(Asumsi!$B$25:$B$29)*$D7*Lisensi+Asumsi!$B$29*$D7*Implementasi</f>
        <v>8192</v>
      </c>
      <c r="AQ7" s="42" t="n">
        <f aca="false">I7/MasaAmortisasi</f>
        <v>-318.718</v>
      </c>
      <c r="AR7" s="42" t="n">
        <f aca="false">J7+IF(1&lt;MasaAmortisasi,I7/MasaAmortisasi,0)</f>
        <v>-883.59</v>
      </c>
      <c r="AS7" s="42" t="n">
        <f aca="false">K7+IF(2&lt;MasaAmortisasi,I7/MasaAmortisasi,0)</f>
        <v>-417.5644</v>
      </c>
      <c r="AT7" s="42" t="n">
        <f aca="false">L7+IF(3&lt;MasaAmortisasi,I7/MasaAmortisasi,0)</f>
        <v>88.9612000000001</v>
      </c>
      <c r="AU7" s="42" t="n">
        <f aca="false">M7+IF(4&lt;MasaAmortisasi,I7/MasaAmortisasi,0)</f>
        <v>1054.7048</v>
      </c>
      <c r="AV7" s="42" t="n">
        <f aca="false">N7+IF(5&lt;MasaAmortisasi,I7/MasaAmortisasi,0)</f>
        <v>1842.2304</v>
      </c>
      <c r="AW7" s="42" t="n">
        <f aca="false">MAX(0,-AQ7)</f>
        <v>318.718</v>
      </c>
      <c r="AX7" s="42" t="n">
        <f aca="false">MAX(0,AW7-AR7)</f>
        <v>1202.308</v>
      </c>
      <c r="AY7" s="42" t="n">
        <f aca="false">MAX(0,AX7-AS7)</f>
        <v>1619.8724</v>
      </c>
      <c r="AZ7" s="42" t="n">
        <f aca="false">MAX(0,AY7-AT7)</f>
        <v>1530.9112</v>
      </c>
      <c r="BA7" s="42" t="n">
        <f aca="false">MAX(0,AZ7-AU7)</f>
        <v>476.2064</v>
      </c>
      <c r="BB7" s="42" t="n">
        <f aca="false">MAX(0,BA7-AV7)</f>
        <v>0</v>
      </c>
      <c r="BC7" s="42" t="n">
        <f aca="false">MAX(0,AR7-AW7)*IF(AL7&lt;=BatasOmzet31E,TarifPPh*(1-Potongan31E*MIN(1,Omzet31E/MAX(AL7,0.000001))),TarifPPh)</f>
        <v>0</v>
      </c>
      <c r="BD7" s="42" t="n">
        <f aca="false">MAX(0,AS7-AX7)*IF(AM7&lt;=BatasOmzet31E,TarifPPh*(1-Potongan31E*MIN(1,Omzet31E/MAX(AM7,0.000001))),TarifPPh)</f>
        <v>0</v>
      </c>
      <c r="BE7" s="42" t="n">
        <f aca="false">MAX(0,AT7-AY7)*IF(AN7&lt;=BatasOmzet31E,TarifPPh*(1-Potongan31E*MIN(1,Omzet31E/MAX(AN7,0.000001))),TarifPPh)</f>
        <v>0</v>
      </c>
      <c r="BF7" s="42" t="n">
        <f aca="false">MAX(0,AU7-AZ7)*IF(AO7&lt;=BatasOmzet31E,TarifPPh*(1-Potongan31E*MIN(1,Omzet31E/MAX(AO7,0.000001))),TarifPPh)</f>
        <v>0</v>
      </c>
      <c r="BG7" s="42" t="n">
        <f aca="false">MAX(0,AV7-BA7)*IF(AP7&lt;=BatasOmzet31E,TarifPPh*(1-Potongan31E*MIN(1,Omzet31E/MAX(AP7,0.000001))),TarifPPh)</f>
        <v>212.480764375</v>
      </c>
      <c r="BH7" s="42" t="n">
        <f aca="false">J7-BC7</f>
        <v>-564.872</v>
      </c>
      <c r="BI7" s="42" t="n">
        <f aca="false">K7-BD7</f>
        <v>-98.8463999999999</v>
      </c>
      <c r="BJ7" s="42" t="n">
        <f aca="false">L7-BE7</f>
        <v>407.6792</v>
      </c>
      <c r="BK7" s="42" t="n">
        <f aca="false">M7-BF7</f>
        <v>1054.7048</v>
      </c>
      <c r="BL7" s="42" t="n">
        <f aca="false">N7-BG7</f>
        <v>1629.749635625</v>
      </c>
    </row>
    <row r="8" customFormat="false" ht="15" hidden="false" customHeight="false" outlineLevel="0" collapsed="false">
      <c r="A8" s="4" t="s">
        <v>259</v>
      </c>
      <c r="B8" s="38" t="n">
        <v>1</v>
      </c>
      <c r="C8" s="38" t="n">
        <v>1</v>
      </c>
      <c r="D8" s="38" t="n">
        <v>0.7</v>
      </c>
      <c r="E8" s="38" t="n">
        <v>1</v>
      </c>
      <c r="F8" s="39" t="n">
        <f aca="false">LamaDev</f>
        <v>12</v>
      </c>
      <c r="G8" s="40" t="n">
        <f aca="false">($F8-LamaDev)/12</f>
        <v>0</v>
      </c>
      <c r="H8" s="41" t="n">
        <f aca="false">BiayaOrang</f>
        <v>15.4145333333333</v>
      </c>
      <c r="I8" s="25" t="n">
        <f aca="false">-(Capex-TimInti*BiayaOrang*LamaDev+TimInti*$H8*$F8)</f>
        <v>-1274.872</v>
      </c>
      <c r="J8" s="25" t="n">
        <f aca="false">(Asumsi!$B$25*$D8*UkuranKlien+0*$D8*UkuranKlien*Penggantian)*(Harga*$B8-HPP*$C8)/1000000+SUM(Asumsi!$B$25)*$D8*Lisensi+Asumsi!$B$25*$D8*Implementasi-(Asumsi!$B$33*$H8*12+Asumsi!$C$33)*$E8</f>
        <v>-570.872</v>
      </c>
      <c r="K8" s="25" t="n">
        <f aca="false">(Asumsi!$B$26*$D8*UkuranKlien+SUM(Asumsi!$B$25)*$D8*UkuranKlien*Penggantian)*(Harga*$B8-HPP*$C8)/1000000+SUM(Asumsi!$B$25:$B$26)*$D8*Lisensi+Asumsi!$B$26*$D8*Implementasi-(Asumsi!$B$34*$H8*12+Asumsi!$C$34)*$E8</f>
        <v>-154.3464</v>
      </c>
      <c r="L8" s="25" t="n">
        <f aca="false">(Asumsi!$B$27*$D8*UkuranKlien+SUM(Asumsi!$B$25:$B$26)*$D8*UkuranKlien*Penggantian)*(Harga*$B8-HPP*$C8)/1000000+SUM(Asumsi!$B$25:$B$27)*$D8*Lisensi+Asumsi!$B$27*$D8*Implementasi-(Asumsi!$B$35*$H8*12+Asumsi!$C$35)*$E8</f>
        <v>279.4292</v>
      </c>
      <c r="M8" s="25" t="n">
        <f aca="false">(Asumsi!$B$28*$D8*UkuranKlien+SUM(Asumsi!$B$25:$B$27)*$D8*UkuranKlien*Penggantian)*(Harga*$B8-HPP*$C8)/1000000+SUM(Asumsi!$B$25:$B$28)*$D8*Lisensi+Asumsi!$B$28*$D8*Implementasi-(Asumsi!$B$36*$H8*12+Asumsi!$C$36)*$E8</f>
        <v>830.4548</v>
      </c>
      <c r="N8" s="25" t="n">
        <f aca="false">(Asumsi!$B$29*$D8*UkuranKlien+SUM(Asumsi!$B$25:$B$28)*$D8*UkuranKlien*Penggantian)*(Harga*$B8-HPP*$C8)/1000000+SUM(Asumsi!$B$25:$B$29)*$D8*Lisensi+Asumsi!$B$29*$D8*Implementasi-(Asumsi!$B$37*$H8*12+Asumsi!$C$37)*$E8</f>
        <v>1498.7304</v>
      </c>
      <c r="O8" s="25" t="n">
        <f aca="false">I8+NPV(Diskonto,J8:N8)/(1+Diskonto)^$G8</f>
        <v>-330.542045596934</v>
      </c>
      <c r="P8" s="25" t="n">
        <f aca="false">I8+NPV(Diskonto,BH8:BL8)/(1+Diskonto)^$G8</f>
        <v>-379.516892246442</v>
      </c>
      <c r="Q8" s="33" t="n">
        <f aca="false">IFERROR(XIRR(I8:N8,AF8:AK8),"negatif")</f>
        <v>0.0682174957526121</v>
      </c>
      <c r="R8" s="34" t="n">
        <f aca="false">IF(COUNT(AA8:AE8)=0,"Tidak tercapai",MIN(AA8:AE8))</f>
        <v>4.59397367264986</v>
      </c>
      <c r="S8" s="25" t="n">
        <f aca="false">MIN(U8:Z8)</f>
        <v>-2000.0904</v>
      </c>
      <c r="T8" s="25" t="n">
        <f aca="false">-I8+MAX(0,-J8)+CadanganBulan/12*(Asumsi!$B$33*$H8*12+Asumsi!$C$33)*$E8</f>
        <v>2201.962</v>
      </c>
      <c r="U8" s="42" t="n">
        <f aca="false">I8</f>
        <v>-1274.872</v>
      </c>
      <c r="V8" s="42" t="n">
        <f aca="false">U8+J8</f>
        <v>-1845.744</v>
      </c>
      <c r="W8" s="42" t="n">
        <f aca="false">V8+K8</f>
        <v>-2000.0904</v>
      </c>
      <c r="X8" s="42" t="n">
        <f aca="false">W8+L8</f>
        <v>-1720.6612</v>
      </c>
      <c r="Y8" s="42" t="n">
        <f aca="false">X8+M8</f>
        <v>-890.2064</v>
      </c>
      <c r="Z8" s="42" t="n">
        <f aca="false">Y8+N8</f>
        <v>608.524</v>
      </c>
      <c r="AA8" s="36" t="str">
        <f aca="false">IF(AND(U8&lt;0,V8&gt;=0),AA$3+(-U8)/J8,"")</f>
        <v/>
      </c>
      <c r="AB8" s="36" t="str">
        <f aca="false">IF(AND(V8&lt;0,W8&gt;=0),AB$3+(-V8)/K8,"")</f>
        <v/>
      </c>
      <c r="AC8" s="36" t="str">
        <f aca="false">IF(AND(W8&lt;0,X8&gt;=0),AC$3+(-W8)/L8,"")</f>
        <v/>
      </c>
      <c r="AD8" s="36" t="str">
        <f aca="false">IF(AND(X8&lt;0,Y8&gt;=0),AD$3+(-X8)/M8,"")</f>
        <v/>
      </c>
      <c r="AE8" s="36" t="n">
        <f aca="false">IF(AND(Y8&lt;0,Z8&gt;=0),AE$3+(-Y8)/N8,"")</f>
        <v>4.59397367264986</v>
      </c>
      <c r="AF8" s="43" t="n">
        <f aca="false">DATE(2027,1,1)</f>
        <v>46388</v>
      </c>
      <c r="AG8" s="43" t="n">
        <f aca="false">$AF8+ROUND(365*(1+$G8),0)</f>
        <v>46753</v>
      </c>
      <c r="AH8" s="43" t="n">
        <f aca="false">$AF8+ROUND(365*(2+$G8),0)</f>
        <v>47118</v>
      </c>
      <c r="AI8" s="43" t="n">
        <f aca="false">$AF8+ROUND(365*(3+$G8),0)</f>
        <v>47483</v>
      </c>
      <c r="AJ8" s="43" t="n">
        <f aca="false">$AF8+ROUND(365*(4+$G8),0)</f>
        <v>47848</v>
      </c>
      <c r="AK8" s="43" t="n">
        <f aca="false">$AF8+ROUND(365*(5+$G8),0)</f>
        <v>48213</v>
      </c>
      <c r="AL8" s="42" t="n">
        <f aca="false">(Asumsi!$B$25*$D8*UkuranKlien+0*$D8*UkuranKlien*Penggantian)*Harga*$B8/1000000+SUM(Asumsi!$B$25)*$D8*Lisensi+Asumsi!$B$25*$D8*Implementasi</f>
        <v>1484</v>
      </c>
      <c r="AM8" s="42" t="n">
        <f aca="false">(Asumsi!$B$26*$D8*UkuranKlien+SUM(Asumsi!$B$25)*$D8*UkuranKlien*Penggantian)*Harga*$B8/1000000+SUM(Asumsi!$B$25:$B$26)*$D8*Lisensi+Asumsi!$B$26*$D8*Implementasi</f>
        <v>2555</v>
      </c>
      <c r="AN8" s="42" t="n">
        <f aca="false">(Asumsi!$B$27*$D8*UkuranKlien+SUM(Asumsi!$B$25:$B$26)*$D8*UkuranKlien*Penggantian)*Harga*$B8/1000000+SUM(Asumsi!$B$25:$B$27)*$D8*Lisensi+Asumsi!$B$27*$D8*Implementasi</f>
        <v>3790.5</v>
      </c>
      <c r="AO8" s="42" t="n">
        <f aca="false">(Asumsi!$B$28*$D8*UkuranKlien+SUM(Asumsi!$B$25:$B$27)*$D8*UkuranKlien*Penggantian)*Harga*$B8/1000000+SUM(Asumsi!$B$25:$B$28)*$D8*Lisensi+Asumsi!$B$28*$D8*Implementasi</f>
        <v>5190.5</v>
      </c>
      <c r="AP8" s="42" t="n">
        <f aca="false">(Asumsi!$B$29*$D8*UkuranKlien+SUM(Asumsi!$B$25:$B$28)*$D8*UkuranKlien*Penggantian)*Harga*$B8/1000000+SUM(Asumsi!$B$25:$B$29)*$D8*Lisensi+Asumsi!$B$29*$D8*Implementasi</f>
        <v>6755</v>
      </c>
      <c r="AQ8" s="42" t="n">
        <f aca="false">I8/MasaAmortisasi</f>
        <v>-318.718</v>
      </c>
      <c r="AR8" s="42" t="n">
        <f aca="false">J8+IF(1&lt;MasaAmortisasi,I8/MasaAmortisasi,0)</f>
        <v>-889.59</v>
      </c>
      <c r="AS8" s="42" t="n">
        <f aca="false">K8+IF(2&lt;MasaAmortisasi,I8/MasaAmortisasi,0)</f>
        <v>-473.0644</v>
      </c>
      <c r="AT8" s="42" t="n">
        <f aca="false">L8+IF(3&lt;MasaAmortisasi,I8/MasaAmortisasi,0)</f>
        <v>-39.2887999999999</v>
      </c>
      <c r="AU8" s="42" t="n">
        <f aca="false">M8+IF(4&lt;MasaAmortisasi,I8/MasaAmortisasi,0)</f>
        <v>830.4548</v>
      </c>
      <c r="AV8" s="42" t="n">
        <f aca="false">N8+IF(5&lt;MasaAmortisasi,I8/MasaAmortisasi,0)</f>
        <v>1498.7304</v>
      </c>
      <c r="AW8" s="42" t="n">
        <f aca="false">MAX(0,-AQ8)</f>
        <v>318.718</v>
      </c>
      <c r="AX8" s="42" t="n">
        <f aca="false">MAX(0,AW8-AR8)</f>
        <v>1208.308</v>
      </c>
      <c r="AY8" s="42" t="n">
        <f aca="false">MAX(0,AX8-AS8)</f>
        <v>1681.3724</v>
      </c>
      <c r="AZ8" s="42" t="n">
        <f aca="false">MAX(0,AY8-AT8)</f>
        <v>1720.6612</v>
      </c>
      <c r="BA8" s="42" t="n">
        <f aca="false">MAX(0,AZ8-AU8)</f>
        <v>890.2064</v>
      </c>
      <c r="BB8" s="42" t="n">
        <f aca="false">MAX(0,BA8-AV8)</f>
        <v>0</v>
      </c>
      <c r="BC8" s="42" t="n">
        <f aca="false">MAX(0,AR8-AW8)*IF(AL8&lt;=BatasOmzet31E,TarifPPh*(1-Potongan31E*MIN(1,Omzet31E/MAX(AL8,0.000001))),TarifPPh)</f>
        <v>0</v>
      </c>
      <c r="BD8" s="42" t="n">
        <f aca="false">MAX(0,AS8-AX8)*IF(AM8&lt;=BatasOmzet31E,TarifPPh*(1-Potongan31E*MIN(1,Omzet31E/MAX(AM8,0.000001))),TarifPPh)</f>
        <v>0</v>
      </c>
      <c r="BE8" s="42" t="n">
        <f aca="false">MAX(0,AT8-AY8)*IF(AN8&lt;=BatasOmzet31E,TarifPPh*(1-Potongan31E*MIN(1,Omzet31E/MAX(AN8,0.000001))),TarifPPh)</f>
        <v>0</v>
      </c>
      <c r="BF8" s="42" t="n">
        <f aca="false">MAX(0,AU8-AZ8)*IF(AO8&lt;=BatasOmzet31E,TarifPPh*(1-Potongan31E*MIN(1,Omzet31E/MAX(AO8,0.000001))),TarifPPh)</f>
        <v>0</v>
      </c>
      <c r="BG8" s="42" t="n">
        <f aca="false">MAX(0,AV8-BA8)*IF(AP8&lt;=BatasOmzet31E,TarifPPh*(1-Potongan31E*MIN(1,Omzet31E/MAX(AP8,0.000001))),TarifPPh)</f>
        <v>86.3104136787565</v>
      </c>
      <c r="BH8" s="42" t="n">
        <f aca="false">J8-BC8</f>
        <v>-570.872</v>
      </c>
      <c r="BI8" s="42" t="n">
        <f aca="false">K8-BD8</f>
        <v>-154.3464</v>
      </c>
      <c r="BJ8" s="42" t="n">
        <f aca="false">L8-BE8</f>
        <v>279.4292</v>
      </c>
      <c r="BK8" s="42" t="n">
        <f aca="false">M8-BF8</f>
        <v>830.4548</v>
      </c>
      <c r="BL8" s="42" t="n">
        <f aca="false">N8-BG8</f>
        <v>1412.41998632124</v>
      </c>
    </row>
    <row r="9" customFormat="false" ht="15" hidden="false" customHeight="false" outlineLevel="0" collapsed="false">
      <c r="A9" s="4" t="s">
        <v>260</v>
      </c>
      <c r="B9" s="38" t="n">
        <v>1</v>
      </c>
      <c r="C9" s="38" t="n">
        <v>1.25</v>
      </c>
      <c r="D9" s="38" t="n">
        <v>1</v>
      </c>
      <c r="E9" s="38" t="n">
        <v>1</v>
      </c>
      <c r="F9" s="39" t="n">
        <f aca="false">LamaDev</f>
        <v>12</v>
      </c>
      <c r="G9" s="40" t="n">
        <f aca="false">($F9-LamaDev)/12</f>
        <v>0</v>
      </c>
      <c r="H9" s="41" t="n">
        <f aca="false">BiayaOrang</f>
        <v>15.4145333333333</v>
      </c>
      <c r="I9" s="25" t="n">
        <f aca="false">-(Capex-TimInti*BiayaOrang*LamaDev+TimInti*$H9*$F9)</f>
        <v>-1274.872</v>
      </c>
      <c r="J9" s="25" t="n">
        <f aca="false">(Asumsi!$B$25*$D9*UkuranKlien+0*$D9*UkuranKlien*Penggantian)*(Harga*$B9-HPP*$C9)/1000000+SUM(Asumsi!$B$25)*$D9*Lisensi+Asumsi!$B$25*$D9*Implementasi-(Asumsi!$B$33*$H9*12+Asumsi!$C$33)*$E9</f>
        <v>-429.872</v>
      </c>
      <c r="K9" s="25" t="n">
        <f aca="false">(Asumsi!$B$26*$D9*UkuranKlien+SUM(Asumsi!$B$25)*$D9*UkuranKlien*Penggantian)*(Harga*$B9-HPP*$C9)/1000000+SUM(Asumsi!$B$25:$B$26)*$D9*Lisensi+Asumsi!$B$26*$D9*Implementasi-(Asumsi!$B$34*$H9*12+Asumsi!$C$34)*$E9</f>
        <v>123.9036</v>
      </c>
      <c r="L9" s="25" t="n">
        <f aca="false">(Asumsi!$B$27*$D9*UkuranKlien+SUM(Asumsi!$B$25:$B$26)*$D9*UkuranKlien*Penggantian)*(Harga*$B9-HPP*$C9)/1000000+SUM(Asumsi!$B$25:$B$27)*$D9*Lisensi+Asumsi!$B$27*$D9*Implementasi-(Asumsi!$B$35*$H9*12+Asumsi!$C$35)*$E9</f>
        <v>728.3042</v>
      </c>
      <c r="M9" s="25" t="n">
        <f aca="false">(Asumsi!$B$28*$D9*UkuranKlien+SUM(Asumsi!$B$25:$B$27)*$D9*UkuranKlien*Penggantian)*(Harga*$B9-HPP*$C9)/1000000+SUM(Asumsi!$B$25:$B$28)*$D9*Lisensi+Asumsi!$B$28*$D9*Implementasi-(Asumsi!$B$36*$H9*12+Asumsi!$C$36)*$E9</f>
        <v>1483.3298</v>
      </c>
      <c r="N9" s="25" t="n">
        <f aca="false">(Asumsi!$B$29*$D9*UkuranKlien+SUM(Asumsi!$B$25:$B$28)*$D9*UkuranKlien*Penggantian)*(Harga*$B9-HPP*$C9)/1000000+SUM(Asumsi!$B$25:$B$29)*$D9*Lisensi+Asumsi!$B$29*$D9*Implementasi-(Asumsi!$B$37*$H9*12+Asumsi!$C$37)*$E9</f>
        <v>2388.9804</v>
      </c>
      <c r="O9" s="25" t="n">
        <f aca="false">I9+NPV(Diskonto,J9:N9)/(1+Diskonto)^$G9</f>
        <v>1256.73599045378</v>
      </c>
      <c r="P9" s="25" t="n">
        <f aca="false">I9+NPV(Diskonto,BH9:BL9)/(1+Diskonto)^$G9</f>
        <v>973.032125296484</v>
      </c>
      <c r="Q9" s="33" t="n">
        <f aca="false">IFERROR(XIRR(I9:N9,AF9:AK9),"negatif")</f>
        <v>0.292053580221048</v>
      </c>
      <c r="R9" s="34" t="n">
        <f aca="false">IF(COUNT(AA9:AE9)=0,"Tidak tercapai",MIN(AA9:AE9))</f>
        <v>3.57474487467318</v>
      </c>
      <c r="S9" s="25" t="n">
        <f aca="false">MIN(U9:Z9)</f>
        <v>-1704.744</v>
      </c>
      <c r="T9" s="25" t="n">
        <f aca="false">-I9+MAX(0,-J9)+CadanganBulan/12*(Asumsi!$B$33*$H9*12+Asumsi!$C$33)*$E9</f>
        <v>2060.962</v>
      </c>
      <c r="U9" s="42" t="n">
        <f aca="false">I9</f>
        <v>-1274.872</v>
      </c>
      <c r="V9" s="42" t="n">
        <f aca="false">U9+J9</f>
        <v>-1704.744</v>
      </c>
      <c r="W9" s="42" t="n">
        <f aca="false">V9+K9</f>
        <v>-1580.8404</v>
      </c>
      <c r="X9" s="42" t="n">
        <f aca="false">W9+L9</f>
        <v>-852.5362</v>
      </c>
      <c r="Y9" s="42" t="n">
        <f aca="false">X9+M9</f>
        <v>630.7936</v>
      </c>
      <c r="Z9" s="42" t="n">
        <f aca="false">Y9+N9</f>
        <v>3019.774</v>
      </c>
      <c r="AA9" s="36" t="str">
        <f aca="false">IF(AND(U9&lt;0,V9&gt;=0),AA$3+(-U9)/J9,"")</f>
        <v/>
      </c>
      <c r="AB9" s="36" t="str">
        <f aca="false">IF(AND(V9&lt;0,W9&gt;=0),AB$3+(-V9)/K9,"")</f>
        <v/>
      </c>
      <c r="AC9" s="36" t="str">
        <f aca="false">IF(AND(W9&lt;0,X9&gt;=0),AC$3+(-W9)/L9,"")</f>
        <v/>
      </c>
      <c r="AD9" s="36" t="n">
        <f aca="false">IF(AND(X9&lt;0,Y9&gt;=0),AD$3+(-X9)/M9,"")</f>
        <v>3.57474487467318</v>
      </c>
      <c r="AE9" s="36" t="str">
        <f aca="false">IF(AND(Y9&lt;0,Z9&gt;=0),AE$3+(-Y9)/N9,"")</f>
        <v/>
      </c>
      <c r="AF9" s="43" t="n">
        <f aca="false">DATE(2027,1,1)</f>
        <v>46388</v>
      </c>
      <c r="AG9" s="43" t="n">
        <f aca="false">$AF9+ROUND(365*(1+$G9),0)</f>
        <v>46753</v>
      </c>
      <c r="AH9" s="43" t="n">
        <f aca="false">$AF9+ROUND(365*(2+$G9),0)</f>
        <v>47118</v>
      </c>
      <c r="AI9" s="43" t="n">
        <f aca="false">$AF9+ROUND(365*(3+$G9),0)</f>
        <v>47483</v>
      </c>
      <c r="AJ9" s="43" t="n">
        <f aca="false">$AF9+ROUND(365*(4+$G9),0)</f>
        <v>47848</v>
      </c>
      <c r="AK9" s="43" t="n">
        <f aca="false">$AF9+ROUND(365*(5+$G9),0)</f>
        <v>48213</v>
      </c>
      <c r="AL9" s="42" t="n">
        <f aca="false">(Asumsi!$B$25*$D9*UkuranKlien+0*$D9*UkuranKlien*Penggantian)*Harga*$B9/1000000+SUM(Asumsi!$B$25)*$D9*Lisensi+Asumsi!$B$25*$D9*Implementasi</f>
        <v>2120</v>
      </c>
      <c r="AM9" s="42" t="n">
        <f aca="false">(Asumsi!$B$26*$D9*UkuranKlien+SUM(Asumsi!$B$25)*$D9*UkuranKlien*Penggantian)*Harga*$B9/1000000+SUM(Asumsi!$B$25:$B$26)*$D9*Lisensi+Asumsi!$B$26*$D9*Implementasi</f>
        <v>3650</v>
      </c>
      <c r="AN9" s="42" t="n">
        <f aca="false">(Asumsi!$B$27*$D9*UkuranKlien+SUM(Asumsi!$B$25:$B$26)*$D9*UkuranKlien*Penggantian)*Harga*$B9/1000000+SUM(Asumsi!$B$25:$B$27)*$D9*Lisensi+Asumsi!$B$27*$D9*Implementasi</f>
        <v>5415</v>
      </c>
      <c r="AO9" s="42" t="n">
        <f aca="false">(Asumsi!$B$28*$D9*UkuranKlien+SUM(Asumsi!$B$25:$B$27)*$D9*UkuranKlien*Penggantian)*Harga*$B9/1000000+SUM(Asumsi!$B$25:$B$28)*$D9*Lisensi+Asumsi!$B$28*$D9*Implementasi</f>
        <v>7415</v>
      </c>
      <c r="AP9" s="42" t="n">
        <f aca="false">(Asumsi!$B$29*$D9*UkuranKlien+SUM(Asumsi!$B$25:$B$28)*$D9*UkuranKlien*Penggantian)*Harga*$B9/1000000+SUM(Asumsi!$B$25:$B$29)*$D9*Lisensi+Asumsi!$B$29*$D9*Implementasi</f>
        <v>9650</v>
      </c>
      <c r="AQ9" s="42" t="n">
        <f aca="false">I9/MasaAmortisasi</f>
        <v>-318.718</v>
      </c>
      <c r="AR9" s="42" t="n">
        <f aca="false">J9+IF(1&lt;MasaAmortisasi,I9/MasaAmortisasi,0)</f>
        <v>-748.59</v>
      </c>
      <c r="AS9" s="42" t="n">
        <f aca="false">K9+IF(2&lt;MasaAmortisasi,I9/MasaAmortisasi,0)</f>
        <v>-194.8144</v>
      </c>
      <c r="AT9" s="42" t="n">
        <f aca="false">L9+IF(3&lt;MasaAmortisasi,I9/MasaAmortisasi,0)</f>
        <v>409.5862</v>
      </c>
      <c r="AU9" s="42" t="n">
        <f aca="false">M9+IF(4&lt;MasaAmortisasi,I9/MasaAmortisasi,0)</f>
        <v>1483.3298</v>
      </c>
      <c r="AV9" s="42" t="n">
        <f aca="false">N9+IF(5&lt;MasaAmortisasi,I9/MasaAmortisasi,0)</f>
        <v>2388.9804</v>
      </c>
      <c r="AW9" s="42" t="n">
        <f aca="false">MAX(0,-AQ9)</f>
        <v>318.718</v>
      </c>
      <c r="AX9" s="42" t="n">
        <f aca="false">MAX(0,AW9-AR9)</f>
        <v>1067.308</v>
      </c>
      <c r="AY9" s="42" t="n">
        <f aca="false">MAX(0,AX9-AS9)</f>
        <v>1262.1224</v>
      </c>
      <c r="AZ9" s="42" t="n">
        <f aca="false">MAX(0,AY9-AT9)</f>
        <v>852.5362</v>
      </c>
      <c r="BA9" s="42" t="n">
        <f aca="false">MAX(0,AZ9-AU9)</f>
        <v>0</v>
      </c>
      <c r="BB9" s="42" t="n">
        <f aca="false">MAX(0,BA9-AV9)</f>
        <v>0</v>
      </c>
      <c r="BC9" s="42" t="n">
        <f aca="false">MAX(0,AR9-AW9)*IF(AL9&lt;=BatasOmzet31E,TarifPPh*(1-Potongan31E*MIN(1,Omzet31E/MAX(AL9,0.000001))),TarifPPh)</f>
        <v>0</v>
      </c>
      <c r="BD9" s="42" t="n">
        <f aca="false">MAX(0,AS9-AX9)*IF(AM9&lt;=BatasOmzet31E,TarifPPh*(1-Potongan31E*MIN(1,Omzet31E/MAX(AM9,0.000001))),TarifPPh)</f>
        <v>0</v>
      </c>
      <c r="BE9" s="42" t="n">
        <f aca="false">MAX(0,AT9-AY9)*IF(AN9&lt;=BatasOmzet31E,TarifPPh*(1-Potongan31E*MIN(1,Omzet31E/MAX(AN9,0.000001))),TarifPPh)</f>
        <v>0</v>
      </c>
      <c r="BF9" s="42" t="n">
        <f aca="false">MAX(0,AU9-AZ9)*IF(AO9&lt;=BatasOmzet31E,TarifPPh*(1-Potongan31E*MIN(1,Omzet31E/MAX(AO9,0.000001))),TarifPPh)</f>
        <v>93.8576640431558</v>
      </c>
      <c r="BG9" s="42" t="n">
        <f aca="false">MAX(0,AV9-BA9)*IF(AP9&lt;=BatasOmzet31E,TarifPPh*(1-Potongan31E*MIN(1,Omzet31E/MAX(AP9,0.000001))),TarifPPh)</f>
        <v>394.862563523316</v>
      </c>
      <c r="BH9" s="42" t="n">
        <f aca="false">J9-BC9</f>
        <v>-429.872</v>
      </c>
      <c r="BI9" s="42" t="n">
        <f aca="false">K9-BD9</f>
        <v>123.9036</v>
      </c>
      <c r="BJ9" s="42" t="n">
        <f aca="false">L9-BE9</f>
        <v>728.3042</v>
      </c>
      <c r="BK9" s="42" t="n">
        <f aca="false">M9-BF9</f>
        <v>1389.47213595684</v>
      </c>
      <c r="BL9" s="42" t="n">
        <f aca="false">N9-BG9</f>
        <v>1994.11783647668</v>
      </c>
    </row>
    <row r="10" customFormat="false" ht="15" hidden="false" customHeight="false" outlineLevel="0" collapsed="false">
      <c r="A10" s="4" t="s">
        <v>261</v>
      </c>
      <c r="B10" s="38" t="n">
        <v>1</v>
      </c>
      <c r="C10" s="38" t="n">
        <v>1</v>
      </c>
      <c r="D10" s="38" t="n">
        <v>1</v>
      </c>
      <c r="E10" s="38" t="n">
        <v>1.2</v>
      </c>
      <c r="F10" s="39" t="n">
        <f aca="false">LamaDev</f>
        <v>12</v>
      </c>
      <c r="G10" s="40" t="n">
        <f aca="false">($F10-LamaDev)/12</f>
        <v>0</v>
      </c>
      <c r="H10" s="41" t="n">
        <f aca="false">BiayaOrang</f>
        <v>15.4145333333333</v>
      </c>
      <c r="I10" s="25" t="n">
        <f aca="false">-(Capex-TimInti*BiayaOrang*LamaDev+TimInti*$H10*$F10)</f>
        <v>-1274.872</v>
      </c>
      <c r="J10" s="25" t="n">
        <f aca="false">(Asumsi!$B$25*$D10*UkuranKlien+0*$D10*UkuranKlien*Penggantian)*(Harga*$B10-HPP*$C10)/1000000+SUM(Asumsi!$B$25)*$D10*Lisensi+Asumsi!$B$25*$D10*Implementasi-(Asumsi!$B$33*$H10*12+Asumsi!$C$33)*$E10</f>
        <v>-489.8464</v>
      </c>
      <c r="K10" s="25" t="n">
        <f aca="false">(Asumsi!$B$26*$D10*UkuranKlien+SUM(Asumsi!$B$25)*$D10*UkuranKlien*Penggantian)*(Harga*$B10-HPP*$C10)/1000000+SUM(Asumsi!$B$25:$B$26)*$D10*Lisensi+Asumsi!$B$26*$D10*Implementasi-(Asumsi!$B$34*$H10*12+Asumsi!$C$34)*$E10</f>
        <v>161.18432</v>
      </c>
      <c r="L10" s="25" t="n">
        <f aca="false">(Asumsi!$B$27*$D10*UkuranKlien+SUM(Asumsi!$B$25:$B$26)*$D10*UkuranKlien*Penggantian)*(Harga*$B10-HPP*$C10)/1000000+SUM(Asumsi!$B$25:$B$27)*$D10*Lisensi+Asumsi!$B$27*$D10*Implementasi-(Asumsi!$B$35*$H10*12+Asumsi!$C$35)*$E10</f>
        <v>859.71504</v>
      </c>
      <c r="M10" s="25" t="n">
        <f aca="false">(Asumsi!$B$28*$D10*UkuranKlien+SUM(Asumsi!$B$25:$B$27)*$D10*UkuranKlien*Penggantian)*(Harga*$B10-HPP*$C10)/1000000+SUM(Asumsi!$B$25:$B$28)*$D10*Lisensi+Asumsi!$B$28*$D10*Implementasi-(Asumsi!$B$36*$H10*12+Asumsi!$C$36)*$E10</f>
        <v>1725.74576</v>
      </c>
      <c r="N10" s="25" t="n">
        <f aca="false">(Asumsi!$B$29*$D10*UkuranKlien+SUM(Asumsi!$B$25:$B$28)*$D10*UkuranKlien*Penggantian)*(Harga*$B10-HPP*$C10)/1000000+SUM(Asumsi!$B$25:$B$29)*$D10*Lisensi+Asumsi!$B$29*$D10*Implementasi-(Asumsi!$B$37*$H10*12+Asumsi!$C$37)*$E10</f>
        <v>2759.27648</v>
      </c>
      <c r="O10" s="25" t="n">
        <f aca="false">I10+NPV(Diskonto,J10:N10)/(1+Diskonto)^$G10</f>
        <v>1690.61868645365</v>
      </c>
      <c r="P10" s="25" t="n">
        <f aca="false">I10+NPV(Diskonto,BH10:BL10)/(1+Diskonto)^$G10</f>
        <v>1338.98244333841</v>
      </c>
      <c r="Q10" s="33" t="n">
        <f aca="false">IFERROR(XIRR(I10:N10,AF10:AK10),"negatif")</f>
        <v>0.335846724393938</v>
      </c>
      <c r="R10" s="34" t="n">
        <f aca="false">IF(COUNT(AA10:AE10)=0,"Tidak tercapai",MIN(AA10:AE10))</f>
        <v>3.43101310589342</v>
      </c>
      <c r="S10" s="25" t="n">
        <f aca="false">MIN(U10:Z10)</f>
        <v>-1764.7184</v>
      </c>
      <c r="T10" s="25" t="n">
        <f aca="false">-I10+MAX(0,-J10)+CadanganBulan/12*(Asumsi!$B$33*$H10*12+Asumsi!$C$33)*$E10</f>
        <v>2192.18</v>
      </c>
      <c r="U10" s="42" t="n">
        <f aca="false">I10</f>
        <v>-1274.872</v>
      </c>
      <c r="V10" s="42" t="n">
        <f aca="false">U10+J10</f>
        <v>-1764.7184</v>
      </c>
      <c r="W10" s="42" t="n">
        <f aca="false">V10+K10</f>
        <v>-1603.53408</v>
      </c>
      <c r="X10" s="42" t="n">
        <f aca="false">W10+L10</f>
        <v>-743.819039999999</v>
      </c>
      <c r="Y10" s="42" t="n">
        <f aca="false">X10+M10</f>
        <v>981.926720000001</v>
      </c>
      <c r="Z10" s="42" t="n">
        <f aca="false">Y10+N10</f>
        <v>3741.2032</v>
      </c>
      <c r="AA10" s="36" t="str">
        <f aca="false">IF(AND(U10&lt;0,V10&gt;=0),AA$3+(-U10)/J10,"")</f>
        <v/>
      </c>
      <c r="AB10" s="36" t="str">
        <f aca="false">IF(AND(V10&lt;0,W10&gt;=0),AB$3+(-V10)/K10,"")</f>
        <v/>
      </c>
      <c r="AC10" s="36" t="str">
        <f aca="false">IF(AND(W10&lt;0,X10&gt;=0),AC$3+(-W10)/L10,"")</f>
        <v/>
      </c>
      <c r="AD10" s="36" t="n">
        <f aca="false">IF(AND(X10&lt;0,Y10&gt;=0),AD$3+(-X10)/M10,"")</f>
        <v>3.43101310589342</v>
      </c>
      <c r="AE10" s="36" t="str">
        <f aca="false">IF(AND(Y10&lt;0,Z10&gt;=0),AE$3+(-Y10)/N10,"")</f>
        <v/>
      </c>
      <c r="AF10" s="43" t="n">
        <f aca="false">DATE(2027,1,1)</f>
        <v>46388</v>
      </c>
      <c r="AG10" s="43" t="n">
        <f aca="false">$AF10+ROUND(365*(1+$G10),0)</f>
        <v>46753</v>
      </c>
      <c r="AH10" s="43" t="n">
        <f aca="false">$AF10+ROUND(365*(2+$G10),0)</f>
        <v>47118</v>
      </c>
      <c r="AI10" s="43" t="n">
        <f aca="false">$AF10+ROUND(365*(3+$G10),0)</f>
        <v>47483</v>
      </c>
      <c r="AJ10" s="43" t="n">
        <f aca="false">$AF10+ROUND(365*(4+$G10),0)</f>
        <v>47848</v>
      </c>
      <c r="AK10" s="43" t="n">
        <f aca="false">$AF10+ROUND(365*(5+$G10),0)</f>
        <v>48213</v>
      </c>
      <c r="AL10" s="42" t="n">
        <f aca="false">(Asumsi!$B$25*$D10*UkuranKlien+0*$D10*UkuranKlien*Penggantian)*Harga*$B10/1000000+SUM(Asumsi!$B$25)*$D10*Lisensi+Asumsi!$B$25*$D10*Implementasi</f>
        <v>2120</v>
      </c>
      <c r="AM10" s="42" t="n">
        <f aca="false">(Asumsi!$B$26*$D10*UkuranKlien+SUM(Asumsi!$B$25)*$D10*UkuranKlien*Penggantian)*Harga*$B10/1000000+SUM(Asumsi!$B$25:$B$26)*$D10*Lisensi+Asumsi!$B$26*$D10*Implementasi</f>
        <v>3650</v>
      </c>
      <c r="AN10" s="42" t="n">
        <f aca="false">(Asumsi!$B$27*$D10*UkuranKlien+SUM(Asumsi!$B$25:$B$26)*$D10*UkuranKlien*Penggantian)*Harga*$B10/1000000+SUM(Asumsi!$B$25:$B$27)*$D10*Lisensi+Asumsi!$B$27*$D10*Implementasi</f>
        <v>5415</v>
      </c>
      <c r="AO10" s="42" t="n">
        <f aca="false">(Asumsi!$B$28*$D10*UkuranKlien+SUM(Asumsi!$B$25:$B$27)*$D10*UkuranKlien*Penggantian)*Harga*$B10/1000000+SUM(Asumsi!$B$25:$B$28)*$D10*Lisensi+Asumsi!$B$28*$D10*Implementasi</f>
        <v>7415</v>
      </c>
      <c r="AP10" s="42" t="n">
        <f aca="false">(Asumsi!$B$29*$D10*UkuranKlien+SUM(Asumsi!$B$25:$B$28)*$D10*UkuranKlien*Penggantian)*Harga*$B10/1000000+SUM(Asumsi!$B$25:$B$29)*$D10*Lisensi+Asumsi!$B$29*$D10*Implementasi</f>
        <v>9650</v>
      </c>
      <c r="AQ10" s="42" t="n">
        <f aca="false">I10/MasaAmortisasi</f>
        <v>-318.718</v>
      </c>
      <c r="AR10" s="42" t="n">
        <f aca="false">J10+IF(1&lt;MasaAmortisasi,I10/MasaAmortisasi,0)</f>
        <v>-808.5644</v>
      </c>
      <c r="AS10" s="42" t="n">
        <f aca="false">K10+IF(2&lt;MasaAmortisasi,I10/MasaAmortisasi,0)</f>
        <v>-157.53368</v>
      </c>
      <c r="AT10" s="42" t="n">
        <f aca="false">L10+IF(3&lt;MasaAmortisasi,I10/MasaAmortisasi,0)</f>
        <v>540.99704</v>
      </c>
      <c r="AU10" s="42" t="n">
        <f aca="false">M10+IF(4&lt;MasaAmortisasi,I10/MasaAmortisasi,0)</f>
        <v>1725.74576</v>
      </c>
      <c r="AV10" s="42" t="n">
        <f aca="false">N10+IF(5&lt;MasaAmortisasi,I10/MasaAmortisasi,0)</f>
        <v>2759.27648</v>
      </c>
      <c r="AW10" s="42" t="n">
        <f aca="false">MAX(0,-AQ10)</f>
        <v>318.718</v>
      </c>
      <c r="AX10" s="42" t="n">
        <f aca="false">MAX(0,AW10-AR10)</f>
        <v>1127.2824</v>
      </c>
      <c r="AY10" s="42" t="n">
        <f aca="false">MAX(0,AX10-AS10)</f>
        <v>1284.81608</v>
      </c>
      <c r="AZ10" s="42" t="n">
        <f aca="false">MAX(0,AY10-AT10)</f>
        <v>743.819039999999</v>
      </c>
      <c r="BA10" s="42" t="n">
        <f aca="false">MAX(0,AZ10-AU10)</f>
        <v>0</v>
      </c>
      <c r="BB10" s="42" t="n">
        <f aca="false">MAX(0,BA10-AV10)</f>
        <v>0</v>
      </c>
      <c r="BC10" s="42" t="n">
        <f aca="false">MAX(0,AR10-AW10)*IF(AL10&lt;=BatasOmzet31E,TarifPPh*(1-Potongan31E*MIN(1,Omzet31E/MAX(AL10,0.000001))),TarifPPh)</f>
        <v>0</v>
      </c>
      <c r="BD10" s="42" t="n">
        <f aca="false">MAX(0,AS10-AX10)*IF(AM10&lt;=BatasOmzet31E,TarifPPh*(1-Potongan31E*MIN(1,Omzet31E/MAX(AM10,0.000001))),TarifPPh)</f>
        <v>0</v>
      </c>
      <c r="BE10" s="42" t="n">
        <f aca="false">MAX(0,AT10-AY10)*IF(AN10&lt;=BatasOmzet31E,TarifPPh*(1-Potongan31E*MIN(1,Omzet31E/MAX(AN10,0.000001))),TarifPPh)</f>
        <v>0</v>
      </c>
      <c r="BF10" s="42" t="n">
        <f aca="false">MAX(0,AU10-AZ10)*IF(AO10&lt;=BatasOmzet31E,TarifPPh*(1-Potongan31E*MIN(1,Omzet31E/MAX(AO10,0.000001))),TarifPPh)</f>
        <v>146.103809868645</v>
      </c>
      <c r="BG10" s="42" t="n">
        <f aca="false">MAX(0,AV10-BA10)*IF(AP10&lt;=BatasOmzet31E,TarifPPh*(1-Potongan31E*MIN(1,Omzet31E/MAX(AP10,0.000001))),TarifPPh)</f>
        <v>456.066941512953</v>
      </c>
      <c r="BH10" s="42" t="n">
        <f aca="false">J10-BC10</f>
        <v>-489.8464</v>
      </c>
      <c r="BI10" s="42" t="n">
        <f aca="false">K10-BD10</f>
        <v>161.18432</v>
      </c>
      <c r="BJ10" s="42" t="n">
        <f aca="false">L10-BE10</f>
        <v>859.71504</v>
      </c>
      <c r="BK10" s="42" t="n">
        <f aca="false">M10-BF10</f>
        <v>1579.64195013136</v>
      </c>
      <c r="BL10" s="42" t="n">
        <f aca="false">N10-BG10</f>
        <v>2303.20953848705</v>
      </c>
    </row>
    <row r="11" customFormat="false" ht="15" hidden="false" customHeight="false" outlineLevel="0" collapsed="false">
      <c r="A11" s="4" t="s">
        <v>262</v>
      </c>
      <c r="B11" s="38" t="n">
        <v>1</v>
      </c>
      <c r="C11" s="38" t="n">
        <v>1</v>
      </c>
      <c r="D11" s="38" t="n">
        <v>1</v>
      </c>
      <c r="E11" s="38" t="n">
        <v>1</v>
      </c>
      <c r="F11" s="39" t="n">
        <f aca="false">LamaDev</f>
        <v>12</v>
      </c>
      <c r="G11" s="40" t="n">
        <f aca="false">($F11-LamaDev)/12</f>
        <v>0</v>
      </c>
      <c r="H11" s="27" t="n">
        <v>20</v>
      </c>
      <c r="I11" s="25" t="n">
        <f aca="false">-(Capex-TimInti*BiayaOrang*LamaDev+TimInti*$H11*$F11)</f>
        <v>-1550</v>
      </c>
      <c r="J11" s="25" t="n">
        <f aca="false">(Asumsi!$B$25*$D11*UkuranKlien+0*$D11*UkuranKlien*Penggantian)*(Harga*$B11-HPP*$C11)/1000000+SUM(Asumsi!$B$25)*$D11*Lisensi+Asumsi!$B$25*$D11*Implementasi-(Asumsi!$B$33*$H11*12+Asumsi!$C$33)*$E11</f>
        <v>-480</v>
      </c>
      <c r="K11" s="25" t="n">
        <f aca="false">(Asumsi!$B$26*$D11*UkuranKlien+SUM(Asumsi!$B$25)*$D11*UkuranKlien*Penggantian)*(Harga*$B11-HPP*$C11)/1000000+SUM(Asumsi!$B$25:$B$26)*$D11*Lisensi+Asumsi!$B$26*$D11*Implementasi-(Asumsi!$B$34*$H11*12+Asumsi!$C$34)*$E11</f>
        <v>165</v>
      </c>
      <c r="L11" s="25" t="n">
        <f aca="false">(Asumsi!$B$27*$D11*UkuranKlien+SUM(Asumsi!$B$25:$B$26)*$D11*UkuranKlien*Penggantian)*(Harga*$B11-HPP*$C11)/1000000+SUM(Asumsi!$B$25:$B$27)*$D11*Lisensi+Asumsi!$B$27*$D11*Implementasi-(Asumsi!$B$35*$H11*12+Asumsi!$C$35)*$E11</f>
        <v>877.5</v>
      </c>
      <c r="M11" s="25" t="n">
        <f aca="false">(Asumsi!$B$28*$D11*UkuranKlien+SUM(Asumsi!$B$25:$B$27)*$D11*UkuranKlien*Penggantian)*(Harga*$B11-HPP*$C11)/1000000+SUM(Asumsi!$B$25:$B$28)*$D11*Lisensi+Asumsi!$B$28*$D11*Implementasi-(Asumsi!$B$36*$H11*12+Asumsi!$C$36)*$E11</f>
        <v>1757.5</v>
      </c>
      <c r="N11" s="25" t="n">
        <f aca="false">(Asumsi!$B$29*$D11*UkuranKlien+SUM(Asumsi!$B$25:$B$28)*$D11*UkuranKlien*Penggantian)*(Harga*$B11-HPP*$C11)/1000000+SUM(Asumsi!$B$25:$B$29)*$D11*Lisensi+Asumsi!$B$29*$D11*Implementasi-(Asumsi!$B$37*$H11*12+Asumsi!$C$37)*$E11</f>
        <v>2805</v>
      </c>
      <c r="O11" s="25" t="n">
        <f aca="false">I11+NPV(Diskonto,J11:N11)/(1+Diskonto)^$G11</f>
        <v>1486.10808176792</v>
      </c>
      <c r="P11" s="25" t="n">
        <f aca="false">I11+NPV(Diskonto,BH11:BL11)/(1+Diskonto)^$G11</f>
        <v>1150.22348565043</v>
      </c>
      <c r="Q11" s="33" t="n">
        <f aca="false">IFERROR(XIRR(I11:N11,AF11:AK11),"negatif")</f>
        <v>0.290978329830725</v>
      </c>
      <c r="R11" s="34" t="n">
        <f aca="false">IF(COUNT(AA11:AE11)=0,"Tidak tercapai",MIN(AA11:AE11))</f>
        <v>3.56187766714083</v>
      </c>
      <c r="S11" s="25" t="n">
        <f aca="false">MIN(U11:Z11)</f>
        <v>-2030</v>
      </c>
      <c r="T11" s="25" t="n">
        <f aca="false">-I11+MAX(0,-J11)+CadanganBulan/12*(Asumsi!$B$33*$H11*12+Asumsi!$C$33)*$E11</f>
        <v>2455</v>
      </c>
      <c r="U11" s="42" t="n">
        <f aca="false">I11</f>
        <v>-1550</v>
      </c>
      <c r="V11" s="42" t="n">
        <f aca="false">U11+J11</f>
        <v>-2030</v>
      </c>
      <c r="W11" s="42" t="n">
        <f aca="false">V11+K11</f>
        <v>-1865</v>
      </c>
      <c r="X11" s="42" t="n">
        <f aca="false">W11+L11</f>
        <v>-987.5</v>
      </c>
      <c r="Y11" s="42" t="n">
        <f aca="false">X11+M11</f>
        <v>770</v>
      </c>
      <c r="Z11" s="42" t="n">
        <f aca="false">Y11+N11</f>
        <v>3575</v>
      </c>
      <c r="AA11" s="36" t="str">
        <f aca="false">IF(AND(U11&lt;0,V11&gt;=0),AA$3+(-U11)/J11,"")</f>
        <v/>
      </c>
      <c r="AB11" s="36" t="str">
        <f aca="false">IF(AND(V11&lt;0,W11&gt;=0),AB$3+(-V11)/K11,"")</f>
        <v/>
      </c>
      <c r="AC11" s="36" t="str">
        <f aca="false">IF(AND(W11&lt;0,X11&gt;=0),AC$3+(-W11)/L11,"")</f>
        <v/>
      </c>
      <c r="AD11" s="36" t="n">
        <f aca="false">IF(AND(X11&lt;0,Y11&gt;=0),AD$3+(-X11)/M11,"")</f>
        <v>3.56187766714083</v>
      </c>
      <c r="AE11" s="36" t="str">
        <f aca="false">IF(AND(Y11&lt;0,Z11&gt;=0),AE$3+(-Y11)/N11,"")</f>
        <v/>
      </c>
      <c r="AF11" s="43" t="n">
        <f aca="false">DATE(2027,1,1)</f>
        <v>46388</v>
      </c>
      <c r="AG11" s="43" t="n">
        <f aca="false">$AF11+ROUND(365*(1+$G11),0)</f>
        <v>46753</v>
      </c>
      <c r="AH11" s="43" t="n">
        <f aca="false">$AF11+ROUND(365*(2+$G11),0)</f>
        <v>47118</v>
      </c>
      <c r="AI11" s="43" t="n">
        <f aca="false">$AF11+ROUND(365*(3+$G11),0)</f>
        <v>47483</v>
      </c>
      <c r="AJ11" s="43" t="n">
        <f aca="false">$AF11+ROUND(365*(4+$G11),0)</f>
        <v>47848</v>
      </c>
      <c r="AK11" s="43" t="n">
        <f aca="false">$AF11+ROUND(365*(5+$G11),0)</f>
        <v>48213</v>
      </c>
      <c r="AL11" s="42" t="n">
        <f aca="false">(Asumsi!$B$25*$D11*UkuranKlien+0*$D11*UkuranKlien*Penggantian)*Harga*$B11/1000000+SUM(Asumsi!$B$25)*$D11*Lisensi+Asumsi!$B$25*$D11*Implementasi</f>
        <v>2120</v>
      </c>
      <c r="AM11" s="42" t="n">
        <f aca="false">(Asumsi!$B$26*$D11*UkuranKlien+SUM(Asumsi!$B$25)*$D11*UkuranKlien*Penggantian)*Harga*$B11/1000000+SUM(Asumsi!$B$25:$B$26)*$D11*Lisensi+Asumsi!$B$26*$D11*Implementasi</f>
        <v>3650</v>
      </c>
      <c r="AN11" s="42" t="n">
        <f aca="false">(Asumsi!$B$27*$D11*UkuranKlien+SUM(Asumsi!$B$25:$B$26)*$D11*UkuranKlien*Penggantian)*Harga*$B11/1000000+SUM(Asumsi!$B$25:$B$27)*$D11*Lisensi+Asumsi!$B$27*$D11*Implementasi</f>
        <v>5415</v>
      </c>
      <c r="AO11" s="42" t="n">
        <f aca="false">(Asumsi!$B$28*$D11*UkuranKlien+SUM(Asumsi!$B$25:$B$27)*$D11*UkuranKlien*Penggantian)*Harga*$B11/1000000+SUM(Asumsi!$B$25:$B$28)*$D11*Lisensi+Asumsi!$B$28*$D11*Implementasi</f>
        <v>7415</v>
      </c>
      <c r="AP11" s="42" t="n">
        <f aca="false">(Asumsi!$B$29*$D11*UkuranKlien+SUM(Asumsi!$B$25:$B$28)*$D11*UkuranKlien*Penggantian)*Harga*$B11/1000000+SUM(Asumsi!$B$25:$B$29)*$D11*Lisensi+Asumsi!$B$29*$D11*Implementasi</f>
        <v>9650</v>
      </c>
      <c r="AQ11" s="42" t="n">
        <f aca="false">I11/MasaAmortisasi</f>
        <v>-387.5</v>
      </c>
      <c r="AR11" s="42" t="n">
        <f aca="false">J11+IF(1&lt;MasaAmortisasi,I11/MasaAmortisasi,0)</f>
        <v>-867.5</v>
      </c>
      <c r="AS11" s="42" t="n">
        <f aca="false">K11+IF(2&lt;MasaAmortisasi,I11/MasaAmortisasi,0)</f>
        <v>-222.5</v>
      </c>
      <c r="AT11" s="42" t="n">
        <f aca="false">L11+IF(3&lt;MasaAmortisasi,I11/MasaAmortisasi,0)</f>
        <v>490</v>
      </c>
      <c r="AU11" s="42" t="n">
        <f aca="false">M11+IF(4&lt;MasaAmortisasi,I11/MasaAmortisasi,0)</f>
        <v>1757.5</v>
      </c>
      <c r="AV11" s="42" t="n">
        <f aca="false">N11+IF(5&lt;MasaAmortisasi,I11/MasaAmortisasi,0)</f>
        <v>2805</v>
      </c>
      <c r="AW11" s="42" t="n">
        <f aca="false">MAX(0,-AQ11)</f>
        <v>387.5</v>
      </c>
      <c r="AX11" s="42" t="n">
        <f aca="false">MAX(0,AW11-AR11)</f>
        <v>1255</v>
      </c>
      <c r="AY11" s="42" t="n">
        <f aca="false">MAX(0,AX11-AS11)</f>
        <v>1477.5</v>
      </c>
      <c r="AZ11" s="42" t="n">
        <f aca="false">MAX(0,AY11-AT11)</f>
        <v>987.5</v>
      </c>
      <c r="BA11" s="42" t="n">
        <f aca="false">MAX(0,AZ11-AU11)</f>
        <v>0</v>
      </c>
      <c r="BB11" s="42" t="n">
        <f aca="false">MAX(0,BA11-AV11)</f>
        <v>0</v>
      </c>
      <c r="BC11" s="42" t="n">
        <f aca="false">MAX(0,AR11-AW11)*IF(AL11&lt;=BatasOmzet31E,TarifPPh*(1-Potongan31E*MIN(1,Omzet31E/MAX(AL11,0.000001))),TarifPPh)</f>
        <v>0</v>
      </c>
      <c r="BD11" s="42" t="n">
        <f aca="false">MAX(0,AS11-AX11)*IF(AM11&lt;=BatasOmzet31E,TarifPPh*(1-Potongan31E*MIN(1,Omzet31E/MAX(AM11,0.000001))),TarifPPh)</f>
        <v>0</v>
      </c>
      <c r="BE11" s="42" t="n">
        <f aca="false">MAX(0,AT11-AY11)*IF(AN11&lt;=BatasOmzet31E,TarifPPh*(1-Potongan31E*MIN(1,Omzet31E/MAX(AN11,0.000001))),TarifPPh)</f>
        <v>0</v>
      </c>
      <c r="BF11" s="42" t="n">
        <f aca="false">MAX(0,AU11-AZ11)*IF(AO11&lt;=BatasOmzet31E,TarifPPh*(1-Potongan31E*MIN(1,Omzet31E/MAX(AO11,0.000001))),TarifPPh)</f>
        <v>114.570600134862</v>
      </c>
      <c r="BG11" s="42" t="n">
        <f aca="false">MAX(0,AV11-BA11)*IF(AP11&lt;=BatasOmzet31E,TarifPPh*(1-Potongan31E*MIN(1,Omzet31E/MAX(AP11,0.000001))),TarifPPh)</f>
        <v>463.624352331606</v>
      </c>
      <c r="BH11" s="42" t="n">
        <f aca="false">J11-BC11</f>
        <v>-480</v>
      </c>
      <c r="BI11" s="42" t="n">
        <f aca="false">K11-BD11</f>
        <v>165</v>
      </c>
      <c r="BJ11" s="42" t="n">
        <f aca="false">L11-BE11</f>
        <v>877.5</v>
      </c>
      <c r="BK11" s="42" t="n">
        <f aca="false">M11-BF11</f>
        <v>1642.92939986514</v>
      </c>
      <c r="BL11" s="42" t="n">
        <f aca="false">N11-BG11</f>
        <v>2341.37564766839</v>
      </c>
    </row>
    <row r="12" customFormat="false" ht="15" hidden="false" customHeight="false" outlineLevel="0" collapsed="false">
      <c r="A12" s="4" t="s">
        <v>263</v>
      </c>
      <c r="B12" s="38" t="n">
        <v>1</v>
      </c>
      <c r="C12" s="38" t="n">
        <v>1</v>
      </c>
      <c r="D12" s="38" t="n">
        <v>1</v>
      </c>
      <c r="E12" s="38" t="n">
        <v>1</v>
      </c>
      <c r="F12" s="19" t="n">
        <v>18</v>
      </c>
      <c r="G12" s="40" t="n">
        <f aca="false">($F12-LamaDev)/12</f>
        <v>0.5</v>
      </c>
      <c r="H12" s="41" t="n">
        <f aca="false">BiayaOrang</f>
        <v>15.4145333333333</v>
      </c>
      <c r="I12" s="25" t="n">
        <f aca="false">-(Capex-TimInti*BiayaOrang*LamaDev+TimInti*$H12*$F12)</f>
        <v>-1737.308</v>
      </c>
      <c r="J12" s="25" t="n">
        <f aca="false">(Asumsi!$B$25*$D12*UkuranKlien+0*$D12*UkuranKlien*Penggantian)*(Harga*$B12-HPP*$C12)/1000000+SUM(Asumsi!$B$25)*$D12*Lisensi+Asumsi!$B$25*$D12*Implementasi-(Asumsi!$B$33*$H12*12+Asumsi!$C$33)*$E12</f>
        <v>-204.872</v>
      </c>
      <c r="K12" s="25" t="n">
        <f aca="false">(Asumsi!$B$26*$D12*UkuranKlien+SUM(Asumsi!$B$25)*$D12*UkuranKlien*Penggantian)*(Harga*$B12-HPP*$C12)/1000000+SUM(Asumsi!$B$25:$B$26)*$D12*Lisensi+Asumsi!$B$26*$D12*Implementasi-(Asumsi!$B$34*$H12*12+Asumsi!$C$34)*$E12</f>
        <v>495.1536</v>
      </c>
      <c r="L12" s="25" t="n">
        <f aca="false">(Asumsi!$B$27*$D12*UkuranKlien+SUM(Asumsi!$B$25:$B$26)*$D12*UkuranKlien*Penggantian)*(Harga*$B12-HPP*$C12)/1000000+SUM(Asumsi!$B$25:$B$27)*$D12*Lisensi+Asumsi!$B$27*$D12*Implementasi-(Asumsi!$B$35*$H12*12+Asumsi!$C$35)*$E12</f>
        <v>1262.6792</v>
      </c>
      <c r="M12" s="25" t="n">
        <f aca="false">(Asumsi!$B$28*$D12*UkuranKlien+SUM(Asumsi!$B$25:$B$27)*$D12*UkuranKlien*Penggantian)*(Harga*$B12-HPP*$C12)/1000000+SUM(Asumsi!$B$25:$B$28)*$D12*Lisensi+Asumsi!$B$28*$D12*Implementasi-(Asumsi!$B$36*$H12*12+Asumsi!$C$36)*$E12</f>
        <v>2197.7048</v>
      </c>
      <c r="N12" s="25" t="n">
        <f aca="false">(Asumsi!$B$29*$D12*UkuranKlien+SUM(Asumsi!$B$25:$B$28)*$D12*UkuranKlien*Penggantian)*(Harga*$B12-HPP*$C12)/1000000+SUM(Asumsi!$B$25:$B$29)*$D12*Lisensi+Asumsi!$B$29*$D12*Implementasi-(Asumsi!$B$37*$H12*12+Asumsi!$C$37)*$E12</f>
        <v>3300.2304</v>
      </c>
      <c r="O12" s="25" t="n">
        <f aca="false">I12+NPV(Diskonto,J12:N12)/(1+Diskonto)^$G12</f>
        <v>2401.29204130018</v>
      </c>
      <c r="P12" s="25" t="n">
        <f aca="false">I12+NPV(Diskonto,BH12:BL12)/(1+Diskonto)^$G12</f>
        <v>1928.92761728758</v>
      </c>
      <c r="Q12" s="33" t="n">
        <f aca="false">IFERROR(XIRR(I12:N12,AF12:AK12),"negatif")</f>
        <v>0.351663998631345</v>
      </c>
      <c r="R12" s="34" t="n">
        <f aca="false">IF(COUNT(AA12:AE12)=0,"Tidak tercapai",MIN(AA12:AE12))</f>
        <v>3.08388169330112</v>
      </c>
      <c r="S12" s="25" t="n">
        <f aca="false">MIN(U12:Z12)</f>
        <v>-1942.18</v>
      </c>
      <c r="T12" s="25" t="n">
        <f aca="false">-I12+MAX(0,-J12)+CadanganBulan/12*(Asumsi!$B$33*$H12*12+Asumsi!$C$33)*$E12</f>
        <v>2298.398</v>
      </c>
      <c r="U12" s="42" t="n">
        <f aca="false">I12</f>
        <v>-1737.308</v>
      </c>
      <c r="V12" s="42" t="n">
        <f aca="false">U12+J12</f>
        <v>-1942.18</v>
      </c>
      <c r="W12" s="42" t="n">
        <f aca="false">V12+K12</f>
        <v>-1447.0264</v>
      </c>
      <c r="X12" s="42" t="n">
        <f aca="false">W12+L12</f>
        <v>-184.3472</v>
      </c>
      <c r="Y12" s="42" t="n">
        <f aca="false">X12+M12</f>
        <v>2013.3576</v>
      </c>
      <c r="Z12" s="42" t="n">
        <f aca="false">Y12+N12</f>
        <v>5313.588</v>
      </c>
      <c r="AA12" s="36" t="str">
        <f aca="false">IF(AND(U12&lt;0,V12&gt;=0),AA$3+(-U12)/J12,"")</f>
        <v/>
      </c>
      <c r="AB12" s="36" t="str">
        <f aca="false">IF(AND(V12&lt;0,W12&gt;=0),AB$3+(-V12)/K12,"")</f>
        <v/>
      </c>
      <c r="AC12" s="36" t="str">
        <f aca="false">IF(AND(W12&lt;0,X12&gt;=0),AC$3+(-W12)/L12,"")</f>
        <v/>
      </c>
      <c r="AD12" s="36" t="n">
        <f aca="false">IF(AND(X12&lt;0,Y12&gt;=0),AD$3+(-X12)/M12,"")</f>
        <v>3.08388169330112</v>
      </c>
      <c r="AE12" s="36" t="str">
        <f aca="false">IF(AND(Y12&lt;0,Z12&gt;=0),AE$3+(-Y12)/N12,"")</f>
        <v/>
      </c>
      <c r="AF12" s="43" t="n">
        <f aca="false">DATE(2027,1,1)</f>
        <v>46388</v>
      </c>
      <c r="AG12" s="43" t="n">
        <f aca="false">$AF12+ROUND(365*(1+$G12),0)</f>
        <v>46936</v>
      </c>
      <c r="AH12" s="43" t="n">
        <f aca="false">$AF12+ROUND(365*(2+$G12),0)</f>
        <v>47301</v>
      </c>
      <c r="AI12" s="43" t="n">
        <f aca="false">$AF12+ROUND(365*(3+$G12),0)</f>
        <v>47666</v>
      </c>
      <c r="AJ12" s="43" t="n">
        <f aca="false">$AF12+ROUND(365*(4+$G12),0)</f>
        <v>48031</v>
      </c>
      <c r="AK12" s="43" t="n">
        <f aca="false">$AF12+ROUND(365*(5+$G12),0)</f>
        <v>48396</v>
      </c>
      <c r="AL12" s="42" t="n">
        <f aca="false">(Asumsi!$B$25*$D12*UkuranKlien+0*$D12*UkuranKlien*Penggantian)*Harga*$B12/1000000+SUM(Asumsi!$B$25)*$D12*Lisensi+Asumsi!$B$25*$D12*Implementasi</f>
        <v>2120</v>
      </c>
      <c r="AM12" s="42" t="n">
        <f aca="false">(Asumsi!$B$26*$D12*UkuranKlien+SUM(Asumsi!$B$25)*$D12*UkuranKlien*Penggantian)*Harga*$B12/1000000+SUM(Asumsi!$B$25:$B$26)*$D12*Lisensi+Asumsi!$B$26*$D12*Implementasi</f>
        <v>3650</v>
      </c>
      <c r="AN12" s="42" t="n">
        <f aca="false">(Asumsi!$B$27*$D12*UkuranKlien+SUM(Asumsi!$B$25:$B$26)*$D12*UkuranKlien*Penggantian)*Harga*$B12/1000000+SUM(Asumsi!$B$25:$B$27)*$D12*Lisensi+Asumsi!$B$27*$D12*Implementasi</f>
        <v>5415</v>
      </c>
      <c r="AO12" s="42" t="n">
        <f aca="false">(Asumsi!$B$28*$D12*UkuranKlien+SUM(Asumsi!$B$25:$B$27)*$D12*UkuranKlien*Penggantian)*Harga*$B12/1000000+SUM(Asumsi!$B$25:$B$28)*$D12*Lisensi+Asumsi!$B$28*$D12*Implementasi</f>
        <v>7415</v>
      </c>
      <c r="AP12" s="42" t="n">
        <f aca="false">(Asumsi!$B$29*$D12*UkuranKlien+SUM(Asumsi!$B$25:$B$28)*$D12*UkuranKlien*Penggantian)*Harga*$B12/1000000+SUM(Asumsi!$B$25:$B$29)*$D12*Lisensi+Asumsi!$B$29*$D12*Implementasi</f>
        <v>9650</v>
      </c>
      <c r="AQ12" s="42" t="n">
        <f aca="false">I12/MasaAmortisasi</f>
        <v>-434.327</v>
      </c>
      <c r="AR12" s="42" t="n">
        <f aca="false">J12+IF(1&lt;MasaAmortisasi,I12/MasaAmortisasi,0)</f>
        <v>-639.199</v>
      </c>
      <c r="AS12" s="42" t="n">
        <f aca="false">K12+IF(2&lt;MasaAmortisasi,I12/MasaAmortisasi,0)</f>
        <v>60.8266000000001</v>
      </c>
      <c r="AT12" s="42" t="n">
        <f aca="false">L12+IF(3&lt;MasaAmortisasi,I12/MasaAmortisasi,0)</f>
        <v>828.3522</v>
      </c>
      <c r="AU12" s="42" t="n">
        <f aca="false">M12+IF(4&lt;MasaAmortisasi,I12/MasaAmortisasi,0)</f>
        <v>2197.7048</v>
      </c>
      <c r="AV12" s="42" t="n">
        <f aca="false">N12+IF(5&lt;MasaAmortisasi,I12/MasaAmortisasi,0)</f>
        <v>3300.2304</v>
      </c>
      <c r="AW12" s="42" t="n">
        <f aca="false">MAX(0,-AQ12)</f>
        <v>434.327</v>
      </c>
      <c r="AX12" s="42" t="n">
        <f aca="false">MAX(0,AW12-AR12)</f>
        <v>1073.526</v>
      </c>
      <c r="AY12" s="42" t="n">
        <f aca="false">MAX(0,AX12-AS12)</f>
        <v>1012.6994</v>
      </c>
      <c r="AZ12" s="42" t="n">
        <f aca="false">MAX(0,AY12-AT12)</f>
        <v>184.3472</v>
      </c>
      <c r="BA12" s="42" t="n">
        <f aca="false">MAX(0,AZ12-AU12)</f>
        <v>0</v>
      </c>
      <c r="BB12" s="42" t="n">
        <f aca="false">MAX(0,BA12-AV12)</f>
        <v>0</v>
      </c>
      <c r="BC12" s="42" t="n">
        <f aca="false">MAX(0,AR12-AW12)*IF(AL12&lt;=BatasOmzet31E,TarifPPh*(1-Potongan31E*MIN(1,Omzet31E/MAX(AL12,0.000001))),TarifPPh)</f>
        <v>0</v>
      </c>
      <c r="BD12" s="42" t="n">
        <f aca="false">MAX(0,AS12-AX12)*IF(AM12&lt;=BatasOmzet31E,TarifPPh*(1-Potongan31E*MIN(1,Omzet31E/MAX(AM12,0.000001))),TarifPPh)</f>
        <v>0</v>
      </c>
      <c r="BE12" s="42" t="n">
        <f aca="false">MAX(0,AT12-AY12)*IF(AN12&lt;=BatasOmzet31E,TarifPPh*(1-Potongan31E*MIN(1,Omzet31E/MAX(AN12,0.000001))),TarifPPh)</f>
        <v>0</v>
      </c>
      <c r="BF12" s="42" t="n">
        <f aca="false">MAX(0,AU12-AZ12)*IF(AO12&lt;=BatasOmzet31E,TarifPPh*(1-Potongan31E*MIN(1,Omzet31E/MAX(AO12,0.000001))),TarifPPh)</f>
        <v>299.573491581929</v>
      </c>
      <c r="BG12" s="42" t="n">
        <f aca="false">MAX(0,AV12-BA12)*IF(AP12&lt;=BatasOmzet31E,TarifPPh*(1-Potongan31E*MIN(1,Omzet31E/MAX(AP12,0.000001))),TarifPPh)</f>
        <v>545.478496165803</v>
      </c>
      <c r="BH12" s="42" t="n">
        <f aca="false">J12-BC12</f>
        <v>-204.872</v>
      </c>
      <c r="BI12" s="42" t="n">
        <f aca="false">K12-BD12</f>
        <v>495.1536</v>
      </c>
      <c r="BJ12" s="42" t="n">
        <f aca="false">L12-BE12</f>
        <v>1262.6792</v>
      </c>
      <c r="BK12" s="42" t="n">
        <f aca="false">M12-BF12</f>
        <v>1898.13130841807</v>
      </c>
      <c r="BL12" s="42" t="n">
        <f aca="false">N12-BG12</f>
        <v>2754.7519038342</v>
      </c>
    </row>
    <row r="13" customFormat="false" ht="15" hidden="false" customHeight="false" outlineLevel="0" collapsed="false">
      <c r="A13" s="4" t="s">
        <v>264</v>
      </c>
      <c r="B13" s="38" t="n">
        <v>0.8</v>
      </c>
      <c r="C13" s="38" t="n">
        <v>1.25</v>
      </c>
      <c r="D13" s="38" t="n">
        <v>0.7</v>
      </c>
      <c r="E13" s="38" t="n">
        <v>1</v>
      </c>
      <c r="F13" s="39" t="n">
        <f aca="false">LamaDev</f>
        <v>12</v>
      </c>
      <c r="G13" s="40" t="n">
        <f aca="false">($F13-LamaDev)/12</f>
        <v>0</v>
      </c>
      <c r="H13" s="41" t="n">
        <f aca="false">BiayaOrang</f>
        <v>15.4145333333333</v>
      </c>
      <c r="I13" s="25" t="n">
        <f aca="false">-(Capex-TimInti*BiayaOrang*LamaDev+TimInti*$H13*$F13)</f>
        <v>-1274.872</v>
      </c>
      <c r="J13" s="25" t="n">
        <f aca="false">(Asumsi!$B$25*$D13*UkuranKlien+0*$D13*UkuranKlien*Penggantian)*(Harga*$B13-HPP*$C13)/1000000+SUM(Asumsi!$B$25)*$D13*Lisensi+Asumsi!$B$25*$D13*Implementasi-(Asumsi!$B$33*$H13*12+Asumsi!$C$33)*$E13</f>
        <v>-980.372</v>
      </c>
      <c r="K13" s="25" t="n">
        <f aca="false">(Asumsi!$B$26*$D13*UkuranKlien+SUM(Asumsi!$B$25)*$D13*UkuranKlien*Penggantian)*(Harga*$B13-HPP*$C13)/1000000+SUM(Asumsi!$B$25:$B$26)*$D13*Lisensi+Asumsi!$B$26*$D13*Implementasi-(Asumsi!$B$34*$H13*12+Asumsi!$C$34)*$E13</f>
        <v>-830.0214</v>
      </c>
      <c r="L13" s="25" t="n">
        <f aca="false">(Asumsi!$B$27*$D13*UkuranKlien+SUM(Asumsi!$B$25:$B$26)*$D13*UkuranKlien*Penggantian)*(Harga*$B13-HPP*$C13)/1000000+SUM(Asumsi!$B$25:$B$27)*$D13*Lisensi+Asumsi!$B$27*$D13*Implementasi-(Asumsi!$B$35*$H13*12+Asumsi!$C$35)*$E13</f>
        <v>-693.1333</v>
      </c>
      <c r="M13" s="25" t="n">
        <f aca="false">(Asumsi!$B$28*$D13*UkuranKlien+SUM(Asumsi!$B$25:$B$27)*$D13*UkuranKlien*Penggantian)*(Harga*$B13-HPP*$C13)/1000000+SUM(Asumsi!$B$25:$B$28)*$D13*Lisensi+Asumsi!$B$28*$D13*Implementasi-(Asumsi!$B$36*$H13*12+Asumsi!$C$36)*$E13</f>
        <v>-469.7077</v>
      </c>
      <c r="N13" s="25" t="n">
        <f aca="false">(Asumsi!$B$29*$D13*UkuranKlien+SUM(Asumsi!$B$25:$B$28)*$D13*UkuranKlien*Penggantian)*(Harga*$B13-HPP*$C13)/1000000+SUM(Asumsi!$B$25:$B$29)*$D13*Lisensi+Asumsi!$B$29*$D13*Implementasi-(Asumsi!$B$37*$H13*12+Asumsi!$C$37)*$E13</f>
        <v>-159.7446</v>
      </c>
      <c r="O13" s="25" t="n">
        <f aca="false">I13+NPV(Diskonto,J13:N13)/(1+Diskonto)^$G13</f>
        <v>-3694.40182422717</v>
      </c>
      <c r="P13" s="25" t="n">
        <f aca="false">I13+NPV(Diskonto,BH13:BL13)/(1+Diskonto)^$G13</f>
        <v>-3694.40182422717</v>
      </c>
      <c r="Q13" s="33" t="str">
        <f aca="false">IFERROR(XIRR(I13:N13,AF13:AK13),"negatif")</f>
        <v>negatif</v>
      </c>
      <c r="R13" s="34" t="str">
        <f aca="false">IF(COUNT(AA13:AE13)=0,"Tidak tercapai",MIN(AA13:AE13))</f>
        <v>Tidak tercapai</v>
      </c>
      <c r="S13" s="25" t="n">
        <f aca="false">MIN(U13:Z13)</f>
        <v>-4407.851</v>
      </c>
      <c r="T13" s="25" t="n">
        <f aca="false">-I13+MAX(0,-J13)+CadanganBulan/12*(Asumsi!$B$33*$H13*12+Asumsi!$C$33)*$E13</f>
        <v>2611.462</v>
      </c>
      <c r="U13" s="42" t="n">
        <f aca="false">I13</f>
        <v>-1274.872</v>
      </c>
      <c r="V13" s="42" t="n">
        <f aca="false">U13+J13</f>
        <v>-2255.244</v>
      </c>
      <c r="W13" s="42" t="n">
        <f aca="false">V13+K13</f>
        <v>-3085.2654</v>
      </c>
      <c r="X13" s="42" t="n">
        <f aca="false">W13+L13</f>
        <v>-3778.3987</v>
      </c>
      <c r="Y13" s="42" t="n">
        <f aca="false">X13+M13</f>
        <v>-4248.1064</v>
      </c>
      <c r="Z13" s="42" t="n">
        <f aca="false">Y13+N13</f>
        <v>-4407.851</v>
      </c>
      <c r="AA13" s="36" t="str">
        <f aca="false">IF(AND(U13&lt;0,V13&gt;=0),AA$3+(-U13)/J13,"")</f>
        <v/>
      </c>
      <c r="AB13" s="36" t="str">
        <f aca="false">IF(AND(V13&lt;0,W13&gt;=0),AB$3+(-V13)/K13,"")</f>
        <v/>
      </c>
      <c r="AC13" s="36" t="str">
        <f aca="false">IF(AND(W13&lt;0,X13&gt;=0),AC$3+(-W13)/L13,"")</f>
        <v/>
      </c>
      <c r="AD13" s="36" t="str">
        <f aca="false">IF(AND(X13&lt;0,Y13&gt;=0),AD$3+(-X13)/M13,"")</f>
        <v/>
      </c>
      <c r="AE13" s="36" t="str">
        <f aca="false">IF(AND(Y13&lt;0,Z13&gt;=0),AE$3+(-Y13)/N13,"")</f>
        <v/>
      </c>
      <c r="AF13" s="43" t="n">
        <f aca="false">DATE(2027,1,1)</f>
        <v>46388</v>
      </c>
      <c r="AG13" s="43" t="n">
        <f aca="false">$AF13+ROUND(365*(1+$G13),0)</f>
        <v>46753</v>
      </c>
      <c r="AH13" s="43" t="n">
        <f aca="false">$AF13+ROUND(365*(2+$G13),0)</f>
        <v>47118</v>
      </c>
      <c r="AI13" s="43" t="n">
        <f aca="false">$AF13+ROUND(365*(3+$G13),0)</f>
        <v>47483</v>
      </c>
      <c r="AJ13" s="43" t="n">
        <f aca="false">$AF13+ROUND(365*(4+$G13),0)</f>
        <v>47848</v>
      </c>
      <c r="AK13" s="43" t="n">
        <f aca="false">$AF13+ROUND(365*(5+$G13),0)</f>
        <v>48213</v>
      </c>
      <c r="AL13" s="42" t="n">
        <f aca="false">(Asumsi!$B$25*$D13*UkuranKlien+0*$D13*UkuranKlien*Penggantian)*Harga*$B13/1000000+SUM(Asumsi!$B$25)*$D13*Lisensi+Asumsi!$B$25*$D13*Implementasi</f>
        <v>1232</v>
      </c>
      <c r="AM13" s="42" t="n">
        <f aca="false">(Asumsi!$B$26*$D13*UkuranKlien+SUM(Asumsi!$B$25)*$D13*UkuranKlien*Penggantian)*Harga*$B13/1000000+SUM(Asumsi!$B$25:$B$26)*$D13*Lisensi+Asumsi!$B$26*$D13*Implementasi</f>
        <v>2139.2</v>
      </c>
      <c r="AN13" s="42" t="n">
        <f aca="false">(Asumsi!$B$27*$D13*UkuranKlien+SUM(Asumsi!$B$25:$B$26)*$D13*UkuranKlien*Penggantian)*Harga*$B13/1000000+SUM(Asumsi!$B$25:$B$27)*$D13*Lisensi+Asumsi!$B$27*$D13*Implementasi</f>
        <v>3192</v>
      </c>
      <c r="AO13" s="42" t="n">
        <f aca="false">(Asumsi!$B$28*$D13*UkuranKlien+SUM(Asumsi!$B$25:$B$27)*$D13*UkuranKlien*Penggantian)*Harga*$B13/1000000+SUM(Asumsi!$B$25:$B$28)*$D13*Lisensi+Asumsi!$B$28*$D13*Implementasi</f>
        <v>4390.4</v>
      </c>
      <c r="AP13" s="42" t="n">
        <f aca="false">(Asumsi!$B$29*$D13*UkuranKlien+SUM(Asumsi!$B$25:$B$28)*$D13*UkuranKlien*Penggantian)*Harga*$B13/1000000+SUM(Asumsi!$B$25:$B$29)*$D13*Lisensi+Asumsi!$B$29*$D13*Implementasi</f>
        <v>5734.4</v>
      </c>
      <c r="AQ13" s="42" t="n">
        <f aca="false">I13/MasaAmortisasi</f>
        <v>-318.718</v>
      </c>
      <c r="AR13" s="42" t="n">
        <f aca="false">J13+IF(1&lt;MasaAmortisasi,I13/MasaAmortisasi,0)</f>
        <v>-1299.09</v>
      </c>
      <c r="AS13" s="42" t="n">
        <f aca="false">K13+IF(2&lt;MasaAmortisasi,I13/MasaAmortisasi,0)</f>
        <v>-1148.7394</v>
      </c>
      <c r="AT13" s="42" t="n">
        <f aca="false">L13+IF(3&lt;MasaAmortisasi,I13/MasaAmortisasi,0)</f>
        <v>-1011.8513</v>
      </c>
      <c r="AU13" s="42" t="n">
        <f aca="false">M13+IF(4&lt;MasaAmortisasi,I13/MasaAmortisasi,0)</f>
        <v>-469.7077</v>
      </c>
      <c r="AV13" s="42" t="n">
        <f aca="false">N13+IF(5&lt;MasaAmortisasi,I13/MasaAmortisasi,0)</f>
        <v>-159.7446</v>
      </c>
      <c r="AW13" s="42" t="n">
        <f aca="false">MAX(0,-AQ13)</f>
        <v>318.718</v>
      </c>
      <c r="AX13" s="42" t="n">
        <f aca="false">MAX(0,AW13-AR13)</f>
        <v>1617.808</v>
      </c>
      <c r="AY13" s="42" t="n">
        <f aca="false">MAX(0,AX13-AS13)</f>
        <v>2766.5474</v>
      </c>
      <c r="AZ13" s="42" t="n">
        <f aca="false">MAX(0,AY13-AT13)</f>
        <v>3778.3987</v>
      </c>
      <c r="BA13" s="42" t="n">
        <f aca="false">MAX(0,AZ13-AU13)</f>
        <v>4248.1064</v>
      </c>
      <c r="BB13" s="42" t="n">
        <f aca="false">MAX(0,BA13-AV13)</f>
        <v>4407.851</v>
      </c>
      <c r="BC13" s="42" t="n">
        <f aca="false">MAX(0,AR13-AW13)*IF(AL13&lt;=BatasOmzet31E,TarifPPh*(1-Potongan31E*MIN(1,Omzet31E/MAX(AL13,0.000001))),TarifPPh)</f>
        <v>0</v>
      </c>
      <c r="BD13" s="42" t="n">
        <f aca="false">MAX(0,AS13-AX13)*IF(AM13&lt;=BatasOmzet31E,TarifPPh*(1-Potongan31E*MIN(1,Omzet31E/MAX(AM13,0.000001))),TarifPPh)</f>
        <v>0</v>
      </c>
      <c r="BE13" s="42" t="n">
        <f aca="false">MAX(0,AT13-AY13)*IF(AN13&lt;=BatasOmzet31E,TarifPPh*(1-Potongan31E*MIN(1,Omzet31E/MAX(AN13,0.000001))),TarifPPh)</f>
        <v>0</v>
      </c>
      <c r="BF13" s="42" t="n">
        <f aca="false">MAX(0,AU13-AZ13)*IF(AO13&lt;=BatasOmzet31E,TarifPPh*(1-Potongan31E*MIN(1,Omzet31E/MAX(AO13,0.000001))),TarifPPh)</f>
        <v>0</v>
      </c>
      <c r="BG13" s="42" t="n">
        <f aca="false">MAX(0,AV13-BA13)*IF(AP13&lt;=BatasOmzet31E,TarifPPh*(1-Potongan31E*MIN(1,Omzet31E/MAX(AP13,0.000001))),TarifPPh)</f>
        <v>0</v>
      </c>
      <c r="BH13" s="42" t="n">
        <f aca="false">J13-BC13</f>
        <v>-980.372</v>
      </c>
      <c r="BI13" s="42" t="n">
        <f aca="false">K13-BD13</f>
        <v>-830.0214</v>
      </c>
      <c r="BJ13" s="42" t="n">
        <f aca="false">L13-BE13</f>
        <v>-693.1333</v>
      </c>
      <c r="BK13" s="42" t="n">
        <f aca="false">M13-BF13</f>
        <v>-469.7077</v>
      </c>
      <c r="BL13" s="42" t="n">
        <f aca="false">N13-BG13</f>
        <v>-159.7446</v>
      </c>
    </row>
    <row r="14" customFormat="false" ht="15" hidden="false" customHeight="false" outlineLevel="0" collapsed="false">
      <c r="A14" s="4" t="s">
        <v>265</v>
      </c>
      <c r="B14" s="38" t="n">
        <v>1</v>
      </c>
      <c r="C14" s="38" t="n">
        <v>1</v>
      </c>
      <c r="D14" s="38" t="n">
        <v>1</v>
      </c>
      <c r="E14" s="38" t="n">
        <v>1</v>
      </c>
      <c r="F14" s="19" t="n">
        <v>9</v>
      </c>
      <c r="G14" s="40" t="n">
        <f aca="false">($F14-LamaDev)/12</f>
        <v>-0.25</v>
      </c>
      <c r="H14" s="41" t="n">
        <f aca="false">BiayaOrang</f>
        <v>15.4145333333333</v>
      </c>
      <c r="I14" s="25" t="n">
        <f aca="false">-(Capex-TimInti*BiayaOrang*LamaDev+TimInti*$H14*$F14)</f>
        <v>-1043.654</v>
      </c>
      <c r="J14" s="25" t="n">
        <f aca="false">(Asumsi!$B$25*$D14*UkuranKlien+0*$D14*UkuranKlien*Penggantian)*(Harga*$B14-HPP*$C14)/1000000+SUM(Asumsi!$B$25)*$D14*Lisensi+Asumsi!$B$25*$D14*Implementasi-(Asumsi!$B$33*$H14*12+Asumsi!$C$33)*$E14</f>
        <v>-204.872</v>
      </c>
      <c r="K14" s="25" t="n">
        <f aca="false">(Asumsi!$B$26*$D14*UkuranKlien+SUM(Asumsi!$B$25)*$D14*UkuranKlien*Penggantian)*(Harga*$B14-HPP*$C14)/1000000+SUM(Asumsi!$B$25:$B$26)*$D14*Lisensi+Asumsi!$B$26*$D14*Implementasi-(Asumsi!$B$34*$H14*12+Asumsi!$C$34)*$E14</f>
        <v>495.1536</v>
      </c>
      <c r="L14" s="25" t="n">
        <f aca="false">(Asumsi!$B$27*$D14*UkuranKlien+SUM(Asumsi!$B$25:$B$26)*$D14*UkuranKlien*Penggantian)*(Harga*$B14-HPP*$C14)/1000000+SUM(Asumsi!$B$25:$B$27)*$D14*Lisensi+Asumsi!$B$27*$D14*Implementasi-(Asumsi!$B$35*$H14*12+Asumsi!$C$35)*$E14</f>
        <v>1262.6792</v>
      </c>
      <c r="M14" s="25" t="n">
        <f aca="false">(Asumsi!$B$28*$D14*UkuranKlien+SUM(Asumsi!$B$25:$B$27)*$D14*UkuranKlien*Penggantian)*(Harga*$B14-HPP*$C14)/1000000+SUM(Asumsi!$B$25:$B$28)*$D14*Lisensi+Asumsi!$B$28*$D14*Implementasi-(Asumsi!$B$36*$H14*12+Asumsi!$C$36)*$E14</f>
        <v>2197.7048</v>
      </c>
      <c r="N14" s="25" t="n">
        <f aca="false">(Asumsi!$B$29*$D14*UkuranKlien+SUM(Asumsi!$B$25:$B$28)*$D14*UkuranKlien*Penggantian)*(Harga*$B14-HPP*$C14)/1000000+SUM(Asumsi!$B$25:$B$29)*$D14*Lisensi+Asumsi!$B$29*$D14*Implementasi-(Asumsi!$B$37*$H14*12+Asumsi!$C$37)*$E14</f>
        <v>3300.2304</v>
      </c>
      <c r="O14" s="25" t="n">
        <f aca="false">I14+NPV(Diskonto,J14:N14)/(1+Diskonto)^$G14</f>
        <v>3462.09479004556</v>
      </c>
      <c r="P14" s="25" t="n">
        <f aca="false">I14+NPV(Diskonto,BH14:BL14)/(1+Diskonto)^$G14</f>
        <v>2884.21082071592</v>
      </c>
      <c r="Q14" s="33" t="n">
        <f aca="false">IFERROR(XIRR(I14:N14,AF14:AK14),"negatif")</f>
        <v>0.642302783608235</v>
      </c>
      <c r="R14" s="34" t="n">
        <f aca="false">IF(COUNT(AA14:AE14)=0,"Tidak tercapai",MIN(AA14:AE14))</f>
        <v>2.59664592558427</v>
      </c>
      <c r="S14" s="25" t="n">
        <f aca="false">MIN(U14:Z14)</f>
        <v>-1248.526</v>
      </c>
      <c r="T14" s="25" t="n">
        <f aca="false">-I14+MAX(0,-J14)+CadanganBulan/12*(Asumsi!$B$33*$H14*12+Asumsi!$C$33)*$E14</f>
        <v>1604.744</v>
      </c>
      <c r="U14" s="42" t="n">
        <f aca="false">I14</f>
        <v>-1043.654</v>
      </c>
      <c r="V14" s="42" t="n">
        <f aca="false">U14+J14</f>
        <v>-1248.526</v>
      </c>
      <c r="W14" s="42" t="n">
        <f aca="false">V14+K14</f>
        <v>-753.3724</v>
      </c>
      <c r="X14" s="42" t="n">
        <f aca="false">W14+L14</f>
        <v>509.3068</v>
      </c>
      <c r="Y14" s="42" t="n">
        <f aca="false">X14+M14</f>
        <v>2707.0116</v>
      </c>
      <c r="Z14" s="42" t="n">
        <f aca="false">Y14+N14</f>
        <v>6007.242</v>
      </c>
      <c r="AA14" s="36" t="str">
        <f aca="false">IF(AND(U14&lt;0,V14&gt;=0),AA$3+(-U14)/J14,"")</f>
        <v/>
      </c>
      <c r="AB14" s="36" t="str">
        <f aca="false">IF(AND(V14&lt;0,W14&gt;=0),AB$3+(-V14)/K14,"")</f>
        <v/>
      </c>
      <c r="AC14" s="36" t="n">
        <f aca="false">IF(AND(W14&lt;0,X14&gt;=0),AC$3+(-W14)/L14,"")</f>
        <v>2.59664592558427</v>
      </c>
      <c r="AD14" s="36" t="str">
        <f aca="false">IF(AND(X14&lt;0,Y14&gt;=0),AD$3+(-X14)/M14,"")</f>
        <v/>
      </c>
      <c r="AE14" s="36" t="str">
        <f aca="false">IF(AND(Y14&lt;0,Z14&gt;=0),AE$3+(-Y14)/N14,"")</f>
        <v/>
      </c>
      <c r="AF14" s="43" t="n">
        <f aca="false">DATE(2027,1,1)</f>
        <v>46388</v>
      </c>
      <c r="AG14" s="43" t="n">
        <f aca="false">$AF14+ROUND(365*(1+$G14),0)</f>
        <v>46662</v>
      </c>
      <c r="AH14" s="43" t="n">
        <f aca="false">$AF14+ROUND(365*(2+$G14),0)</f>
        <v>47027</v>
      </c>
      <c r="AI14" s="43" t="n">
        <f aca="false">$AF14+ROUND(365*(3+$G14),0)</f>
        <v>47392</v>
      </c>
      <c r="AJ14" s="43" t="n">
        <f aca="false">$AF14+ROUND(365*(4+$G14),0)</f>
        <v>47757</v>
      </c>
      <c r="AK14" s="43" t="n">
        <f aca="false">$AF14+ROUND(365*(5+$G14),0)</f>
        <v>48122</v>
      </c>
      <c r="AL14" s="42" t="n">
        <f aca="false">(Asumsi!$B$25*$D14*UkuranKlien+0*$D14*UkuranKlien*Penggantian)*Harga*$B14/1000000+SUM(Asumsi!$B$25)*$D14*Lisensi+Asumsi!$B$25*$D14*Implementasi</f>
        <v>2120</v>
      </c>
      <c r="AM14" s="42" t="n">
        <f aca="false">(Asumsi!$B$26*$D14*UkuranKlien+SUM(Asumsi!$B$25)*$D14*UkuranKlien*Penggantian)*Harga*$B14/1000000+SUM(Asumsi!$B$25:$B$26)*$D14*Lisensi+Asumsi!$B$26*$D14*Implementasi</f>
        <v>3650</v>
      </c>
      <c r="AN14" s="42" t="n">
        <f aca="false">(Asumsi!$B$27*$D14*UkuranKlien+SUM(Asumsi!$B$25:$B$26)*$D14*UkuranKlien*Penggantian)*Harga*$B14/1000000+SUM(Asumsi!$B$25:$B$27)*$D14*Lisensi+Asumsi!$B$27*$D14*Implementasi</f>
        <v>5415</v>
      </c>
      <c r="AO14" s="42" t="n">
        <f aca="false">(Asumsi!$B$28*$D14*UkuranKlien+SUM(Asumsi!$B$25:$B$27)*$D14*UkuranKlien*Penggantian)*Harga*$B14/1000000+SUM(Asumsi!$B$25:$B$28)*$D14*Lisensi+Asumsi!$B$28*$D14*Implementasi</f>
        <v>7415</v>
      </c>
      <c r="AP14" s="42" t="n">
        <f aca="false">(Asumsi!$B$29*$D14*UkuranKlien+SUM(Asumsi!$B$25:$B$28)*$D14*UkuranKlien*Penggantian)*Harga*$B14/1000000+SUM(Asumsi!$B$25:$B$29)*$D14*Lisensi+Asumsi!$B$29*$D14*Implementasi</f>
        <v>9650</v>
      </c>
      <c r="AQ14" s="42" t="n">
        <f aca="false">I14/MasaAmortisasi</f>
        <v>-260.9135</v>
      </c>
      <c r="AR14" s="42" t="n">
        <f aca="false">J14+IF(1&lt;MasaAmortisasi,I14/MasaAmortisasi,0)</f>
        <v>-465.7855</v>
      </c>
      <c r="AS14" s="42" t="n">
        <f aca="false">K14+IF(2&lt;MasaAmortisasi,I14/MasaAmortisasi,0)</f>
        <v>234.2401</v>
      </c>
      <c r="AT14" s="42" t="n">
        <f aca="false">L14+IF(3&lt;MasaAmortisasi,I14/MasaAmortisasi,0)</f>
        <v>1001.7657</v>
      </c>
      <c r="AU14" s="42" t="n">
        <f aca="false">M14+IF(4&lt;MasaAmortisasi,I14/MasaAmortisasi,0)</f>
        <v>2197.7048</v>
      </c>
      <c r="AV14" s="42" t="n">
        <f aca="false">N14+IF(5&lt;MasaAmortisasi,I14/MasaAmortisasi,0)</f>
        <v>3300.2304</v>
      </c>
      <c r="AW14" s="42" t="n">
        <f aca="false">MAX(0,-AQ14)</f>
        <v>260.9135</v>
      </c>
      <c r="AX14" s="42" t="n">
        <f aca="false">MAX(0,AW14-AR14)</f>
        <v>726.699</v>
      </c>
      <c r="AY14" s="42" t="n">
        <f aca="false">MAX(0,AX14-AS14)</f>
        <v>492.4589</v>
      </c>
      <c r="AZ14" s="42" t="n">
        <f aca="false">MAX(0,AY14-AT14)</f>
        <v>0</v>
      </c>
      <c r="BA14" s="42" t="n">
        <f aca="false">MAX(0,AZ14-AU14)</f>
        <v>0</v>
      </c>
      <c r="BB14" s="42" t="n">
        <f aca="false">MAX(0,BA14-AV14)</f>
        <v>0</v>
      </c>
      <c r="BC14" s="42" t="n">
        <f aca="false">MAX(0,AR14-AW14)*IF(AL14&lt;=BatasOmzet31E,TarifPPh*(1-Potongan31E*MIN(1,Omzet31E/MAX(AL14,0.000001))),TarifPPh)</f>
        <v>0</v>
      </c>
      <c r="BD14" s="42" t="n">
        <f aca="false">MAX(0,AS14-AX14)*IF(AM14&lt;=BatasOmzet31E,TarifPPh*(1-Potongan31E*MIN(1,Omzet31E/MAX(AM14,0.000001))),TarifPPh)</f>
        <v>0</v>
      </c>
      <c r="BE14" s="42" t="n">
        <f aca="false">MAX(0,AT14-AY14)*IF(AN14&lt;=BatasOmzet31E,TarifPPh*(1-Potongan31E*MIN(1,Omzet31E/MAX(AN14,0.000001))),TarifPPh)</f>
        <v>62.3865559445984</v>
      </c>
      <c r="BF14" s="42" t="n">
        <f aca="false">MAX(0,AU14-AZ14)*IF(AO14&lt;=BatasOmzet31E,TarifPPh*(1-Potongan31E*MIN(1,Omzet31E/MAX(AO14,0.000001))),TarifPPh)</f>
        <v>327.003062149697</v>
      </c>
      <c r="BG14" s="42" t="n">
        <f aca="false">MAX(0,AV14-BA14)*IF(AP14&lt;=BatasOmzet31E,TarifPPh*(1-Potongan31E*MIN(1,Omzet31E/MAX(AP14,0.000001))),TarifPPh)</f>
        <v>545.478496165803</v>
      </c>
      <c r="BH14" s="42" t="n">
        <f aca="false">J14-BC14</f>
        <v>-204.872</v>
      </c>
      <c r="BI14" s="42" t="n">
        <f aca="false">K14-BD14</f>
        <v>495.1536</v>
      </c>
      <c r="BJ14" s="42" t="n">
        <f aca="false">L14-BE14</f>
        <v>1200.2926440554</v>
      </c>
      <c r="BK14" s="42" t="n">
        <f aca="false">M14-BF14</f>
        <v>1870.7017378503</v>
      </c>
      <c r="BL14" s="42" t="n">
        <f aca="false">N14-BG14</f>
        <v>2754.7519038342</v>
      </c>
    </row>
    <row r="15" customFormat="false" ht="15" hidden="false" customHeight="false" outlineLevel="0" collapsed="false">
      <c r="A15" s="4" t="s">
        <v>266</v>
      </c>
      <c r="B15" s="38" t="n">
        <v>1</v>
      </c>
      <c r="C15" s="44" t="n">
        <f aca="false">35000/HPP</f>
        <v>0.777777777777778</v>
      </c>
      <c r="D15" s="38" t="n">
        <v>1</v>
      </c>
      <c r="E15" s="38" t="n">
        <v>1</v>
      </c>
      <c r="F15" s="39" t="n">
        <f aca="false">LamaDev</f>
        <v>12</v>
      </c>
      <c r="G15" s="40" t="n">
        <f aca="false">($F15-LamaDev)/12</f>
        <v>0</v>
      </c>
      <c r="H15" s="41" t="n">
        <f aca="false">BiayaOrang</f>
        <v>15.4145333333333</v>
      </c>
      <c r="I15" s="25" t="n">
        <f aca="false">-(Capex-TimInti*BiayaOrang*LamaDev+TimInti*$H15*$F15)</f>
        <v>-1274.872</v>
      </c>
      <c r="J15" s="25" t="n">
        <f aca="false">(Asumsi!$B$25*$D15*UkuranKlien+0*$D15*UkuranKlien*Penggantian)*(Harga*$B15-HPP*$C15)/1000000+SUM(Asumsi!$B$25)*$D15*Lisensi+Asumsi!$B$25*$D15*Implementasi-(Asumsi!$B$33*$H15*12+Asumsi!$C$33)*$E15</f>
        <v>-4.87199999999984</v>
      </c>
      <c r="K15" s="25" t="n">
        <f aca="false">(Asumsi!$B$26*$D15*UkuranKlien+SUM(Asumsi!$B$25)*$D15*UkuranKlien*Penggantian)*(Harga*$B15-HPP*$C15)/1000000+SUM(Asumsi!$B$25:$B$26)*$D15*Lisensi+Asumsi!$B$26*$D15*Implementasi-(Asumsi!$B$34*$H15*12+Asumsi!$C$34)*$E15</f>
        <v>825.1536</v>
      </c>
      <c r="L15" s="25" t="n">
        <f aca="false">(Asumsi!$B$27*$D15*UkuranKlien+SUM(Asumsi!$B$25:$B$26)*$D15*UkuranKlien*Penggantian)*(Harga*$B15-HPP*$C15)/1000000+SUM(Asumsi!$B$25:$B$27)*$D15*Lisensi+Asumsi!$B$27*$D15*Implementasi-(Asumsi!$B$35*$H15*12+Asumsi!$C$35)*$E15</f>
        <v>1737.6792</v>
      </c>
      <c r="M15" s="25" t="n">
        <f aca="false">(Asumsi!$B$28*$D15*UkuranKlien+SUM(Asumsi!$B$25:$B$27)*$D15*UkuranKlien*Penggantian)*(Harga*$B15-HPP*$C15)/1000000+SUM(Asumsi!$B$25:$B$28)*$D15*Lisensi+Asumsi!$B$28*$D15*Implementasi-(Asumsi!$B$36*$H15*12+Asumsi!$C$36)*$E15</f>
        <v>2832.7048</v>
      </c>
      <c r="N15" s="25" t="n">
        <f aca="false">(Asumsi!$B$29*$D15*UkuranKlien+SUM(Asumsi!$B$25:$B$28)*$D15*UkuranKlien*Penggantian)*(Harga*$B15-HPP*$C15)/1000000+SUM(Asumsi!$B$25:$B$29)*$D15*Lisensi+Asumsi!$B$29*$D15*Implementasi-(Asumsi!$B$37*$H15*12+Asumsi!$C$37)*$E15</f>
        <v>4110.2304</v>
      </c>
      <c r="O15" s="25" t="n">
        <f aca="false">I15+NPV(Diskonto,J15:N15)/(1+Diskonto)^$G15</f>
        <v>4747.92135289054</v>
      </c>
      <c r="P15" s="25" t="n">
        <f aca="false">I15+NPV(Diskonto,BH15:BL15)/(1+Diskonto)^$G15</f>
        <v>3982.70212705677</v>
      </c>
      <c r="Q15" s="33" t="n">
        <f aca="false">IFERROR(XIRR(I15:N15,AF15:AK15),"negatif")</f>
        <v>0.696229856070903</v>
      </c>
      <c r="R15" s="34" t="n">
        <f aca="false">IF(COUNT(AA15:AE15)=0,"Tidak tercapai",MIN(AA15:AE15))</f>
        <v>2.26160778122912</v>
      </c>
      <c r="S15" s="25" t="n">
        <f aca="false">MIN(U15:Z15)</f>
        <v>-1279.744</v>
      </c>
      <c r="T15" s="25" t="n">
        <f aca="false">-I15+MAX(0,-J15)+CadanganBulan/12*(Asumsi!$B$33*$H15*12+Asumsi!$C$33)*$E15</f>
        <v>1635.962</v>
      </c>
      <c r="U15" s="42" t="n">
        <f aca="false">I15</f>
        <v>-1274.872</v>
      </c>
      <c r="V15" s="42" t="n">
        <f aca="false">U15+J15</f>
        <v>-1279.744</v>
      </c>
      <c r="W15" s="42" t="n">
        <f aca="false">V15+K15</f>
        <v>-454.5904</v>
      </c>
      <c r="X15" s="42" t="n">
        <f aca="false">W15+L15</f>
        <v>1283.0888</v>
      </c>
      <c r="Y15" s="42" t="n">
        <f aca="false">X15+M15</f>
        <v>4115.7936</v>
      </c>
      <c r="Z15" s="42" t="n">
        <f aca="false">Y15+N15</f>
        <v>8226.024</v>
      </c>
      <c r="AA15" s="36" t="str">
        <f aca="false">IF(AND(U15&lt;0,V15&gt;=0),AA$3+(-U15)/J15,"")</f>
        <v/>
      </c>
      <c r="AB15" s="36" t="str">
        <f aca="false">IF(AND(V15&lt;0,W15&gt;=0),AB$3+(-V15)/K15,"")</f>
        <v/>
      </c>
      <c r="AC15" s="36" t="n">
        <f aca="false">IF(AND(W15&lt;0,X15&gt;=0),AC$3+(-W15)/L15,"")</f>
        <v>2.26160778122912</v>
      </c>
      <c r="AD15" s="36" t="str">
        <f aca="false">IF(AND(X15&lt;0,Y15&gt;=0),AD$3+(-X15)/M15,"")</f>
        <v/>
      </c>
      <c r="AE15" s="36" t="str">
        <f aca="false">IF(AND(Y15&lt;0,Z15&gt;=0),AE$3+(-Y15)/N15,"")</f>
        <v/>
      </c>
      <c r="AF15" s="43" t="n">
        <f aca="false">DATE(2027,1,1)</f>
        <v>46388</v>
      </c>
      <c r="AG15" s="43" t="n">
        <f aca="false">$AF15+ROUND(365*(1+$G15),0)</f>
        <v>46753</v>
      </c>
      <c r="AH15" s="43" t="n">
        <f aca="false">$AF15+ROUND(365*(2+$G15),0)</f>
        <v>47118</v>
      </c>
      <c r="AI15" s="43" t="n">
        <f aca="false">$AF15+ROUND(365*(3+$G15),0)</f>
        <v>47483</v>
      </c>
      <c r="AJ15" s="43" t="n">
        <f aca="false">$AF15+ROUND(365*(4+$G15),0)</f>
        <v>47848</v>
      </c>
      <c r="AK15" s="43" t="n">
        <f aca="false">$AF15+ROUND(365*(5+$G15),0)</f>
        <v>48213</v>
      </c>
      <c r="AL15" s="42" t="n">
        <f aca="false">(Asumsi!$B$25*$D15*UkuranKlien+0*$D15*UkuranKlien*Penggantian)*Harga*$B15/1000000+SUM(Asumsi!$B$25)*$D15*Lisensi+Asumsi!$B$25*$D15*Implementasi</f>
        <v>2120</v>
      </c>
      <c r="AM15" s="42" t="n">
        <f aca="false">(Asumsi!$B$26*$D15*UkuranKlien+SUM(Asumsi!$B$25)*$D15*UkuranKlien*Penggantian)*Harga*$B15/1000000+SUM(Asumsi!$B$25:$B$26)*$D15*Lisensi+Asumsi!$B$26*$D15*Implementasi</f>
        <v>3650</v>
      </c>
      <c r="AN15" s="42" t="n">
        <f aca="false">(Asumsi!$B$27*$D15*UkuranKlien+SUM(Asumsi!$B$25:$B$26)*$D15*UkuranKlien*Penggantian)*Harga*$B15/1000000+SUM(Asumsi!$B$25:$B$27)*$D15*Lisensi+Asumsi!$B$27*$D15*Implementasi</f>
        <v>5415</v>
      </c>
      <c r="AO15" s="42" t="n">
        <f aca="false">(Asumsi!$B$28*$D15*UkuranKlien+SUM(Asumsi!$B$25:$B$27)*$D15*UkuranKlien*Penggantian)*Harga*$B15/1000000+SUM(Asumsi!$B$25:$B$28)*$D15*Lisensi+Asumsi!$B$28*$D15*Implementasi</f>
        <v>7415</v>
      </c>
      <c r="AP15" s="42" t="n">
        <f aca="false">(Asumsi!$B$29*$D15*UkuranKlien+SUM(Asumsi!$B$25:$B$28)*$D15*UkuranKlien*Penggantian)*Harga*$B15/1000000+SUM(Asumsi!$B$25:$B$29)*$D15*Lisensi+Asumsi!$B$29*$D15*Implementasi</f>
        <v>9650</v>
      </c>
      <c r="AQ15" s="42" t="n">
        <f aca="false">I15/MasaAmortisasi</f>
        <v>-318.718</v>
      </c>
      <c r="AR15" s="42" t="n">
        <f aca="false">J15+IF(1&lt;MasaAmortisasi,I15/MasaAmortisasi,0)</f>
        <v>-323.59</v>
      </c>
      <c r="AS15" s="42" t="n">
        <f aca="false">K15+IF(2&lt;MasaAmortisasi,I15/MasaAmortisasi,0)</f>
        <v>506.4356</v>
      </c>
      <c r="AT15" s="42" t="n">
        <f aca="false">L15+IF(3&lt;MasaAmortisasi,I15/MasaAmortisasi,0)</f>
        <v>1418.9612</v>
      </c>
      <c r="AU15" s="42" t="n">
        <f aca="false">M15+IF(4&lt;MasaAmortisasi,I15/MasaAmortisasi,0)</f>
        <v>2832.7048</v>
      </c>
      <c r="AV15" s="42" t="n">
        <f aca="false">N15+IF(5&lt;MasaAmortisasi,I15/MasaAmortisasi,0)</f>
        <v>4110.2304</v>
      </c>
      <c r="AW15" s="42" t="n">
        <f aca="false">MAX(0,-AQ15)</f>
        <v>318.718</v>
      </c>
      <c r="AX15" s="42" t="n">
        <f aca="false">MAX(0,AW15-AR15)</f>
        <v>642.308</v>
      </c>
      <c r="AY15" s="42" t="n">
        <f aca="false">MAX(0,AX15-AS15)</f>
        <v>135.8724</v>
      </c>
      <c r="AZ15" s="42" t="n">
        <f aca="false">MAX(0,AY15-AT15)</f>
        <v>0</v>
      </c>
      <c r="BA15" s="42" t="n">
        <f aca="false">MAX(0,AZ15-AU15)</f>
        <v>0</v>
      </c>
      <c r="BB15" s="42" t="n">
        <f aca="false">MAX(0,BA15-AV15)</f>
        <v>0</v>
      </c>
      <c r="BC15" s="42" t="n">
        <f aca="false">MAX(0,AR15-AW15)*IF(AL15&lt;=BatasOmzet31E,TarifPPh*(1-Potongan31E*MIN(1,Omzet31E/MAX(AL15,0.000001))),TarifPPh)</f>
        <v>0</v>
      </c>
      <c r="BD15" s="42" t="n">
        <f aca="false">MAX(0,AS15-AX15)*IF(AM15&lt;=BatasOmzet31E,TarifPPh*(1-Potongan31E*MIN(1,Omzet31E/MAX(AM15,0.000001))),TarifPPh)</f>
        <v>0</v>
      </c>
      <c r="BE15" s="42" t="n">
        <f aca="false">MAX(0,AT15-AY15)*IF(AN15&lt;=BatasOmzet31E,TarifPPh*(1-Potongan31E*MIN(1,Omzet31E/MAX(AN15,0.000001))),TarifPPh)</f>
        <v>157.16949234349</v>
      </c>
      <c r="BF15" s="42" t="n">
        <f aca="false">MAX(0,AU15-AZ15)*IF(AO15&lt;=BatasOmzet31E,TarifPPh*(1-Potongan31E*MIN(1,Omzet31E/MAX(AO15,0.000001))),TarifPPh)</f>
        <v>421.48660901416</v>
      </c>
      <c r="BG15" s="42" t="n">
        <f aca="false">MAX(0,AV15-BA15)*IF(AP15&lt;=BatasOmzet31E,TarifPPh*(1-Potongan31E*MIN(1,Omzet31E/MAX(AP15,0.000001))),TarifPPh)</f>
        <v>679.359325181347</v>
      </c>
      <c r="BH15" s="42" t="n">
        <f aca="false">J15-BC15</f>
        <v>-4.87199999999984</v>
      </c>
      <c r="BI15" s="42" t="n">
        <f aca="false">K15-BD15</f>
        <v>825.1536</v>
      </c>
      <c r="BJ15" s="42" t="n">
        <f aca="false">L15-BE15</f>
        <v>1580.50970765651</v>
      </c>
      <c r="BK15" s="42" t="n">
        <f aca="false">M15-BF15</f>
        <v>2411.21819098584</v>
      </c>
      <c r="BL15" s="42" t="n">
        <f aca="false">N15-BG15</f>
        <v>3430.87107481865</v>
      </c>
    </row>
    <row r="16" customFormat="false" ht="15" hidden="false" customHeight="false" outlineLevel="0" collapsed="false">
      <c r="A16" s="4" t="s">
        <v>267</v>
      </c>
      <c r="B16" s="38" t="n">
        <v>1</v>
      </c>
      <c r="C16" s="38" t="n">
        <v>1</v>
      </c>
      <c r="D16" s="38" t="n">
        <v>1</v>
      </c>
      <c r="E16" s="38" t="n">
        <v>1</v>
      </c>
      <c r="F16" s="39" t="n">
        <f aca="false">LamaDev</f>
        <v>12</v>
      </c>
      <c r="G16" s="40" t="n">
        <f aca="false">($F16-LamaDev)/12</f>
        <v>0</v>
      </c>
      <c r="H16" s="21" t="n">
        <f aca="false">UMK*(1+Iuran)</f>
        <v>5.6176227272</v>
      </c>
      <c r="I16" s="25" t="n">
        <f aca="false">-(Capex-TimInti*BiayaOrang*LamaDev+TimInti*$H16*$F16)</f>
        <v>-687.057363632</v>
      </c>
      <c r="J16" s="25" t="n">
        <f aca="false">(Asumsi!$B$25*$D16*UkuranKlien+0*$D16*UkuranKlien*Penggantian)*(Harga*$B16-HPP*$C16)/1000000+SUM(Asumsi!$B$25)*$D16*Lisensi+Asumsi!$B$25*$D16*Implementasi-(Asumsi!$B$33*$H16*12+Asumsi!$C$33)*$E16</f>
        <v>382.942636368</v>
      </c>
      <c r="K16" s="25" t="n">
        <f aca="false">(Asumsi!$B$26*$D16*UkuranKlien+SUM(Asumsi!$B$25)*$D16*UkuranKlien*Penggantian)*(Harga*$B16-HPP*$C16)/1000000+SUM(Asumsi!$B$25:$B$26)*$D16*Lisensi+Asumsi!$B$26*$D16*Implementasi-(Asumsi!$B$34*$H16*12+Asumsi!$C$34)*$E16</f>
        <v>1200.5311636416</v>
      </c>
      <c r="L16" s="25" t="n">
        <f aca="false">(Asumsi!$B$27*$D16*UkuranKlien+SUM(Asumsi!$B$25:$B$26)*$D16*UkuranKlien*Penggantian)*(Harga*$B16-HPP*$C16)/1000000+SUM(Asumsi!$B$25:$B$27)*$D16*Lisensi+Asumsi!$B$27*$D16*Implementasi-(Asumsi!$B$35*$H16*12+Asumsi!$C$35)*$E16</f>
        <v>2085.6196909152</v>
      </c>
      <c r="M16" s="25" t="n">
        <f aca="false">(Asumsi!$B$28*$D16*UkuranKlien+SUM(Asumsi!$B$25:$B$27)*$D16*UkuranKlien*Penggantian)*(Harga*$B16-HPP*$C16)/1000000+SUM(Asumsi!$B$25:$B$28)*$D16*Lisensi+Asumsi!$B$28*$D16*Implementasi-(Asumsi!$B$36*$H16*12+Asumsi!$C$36)*$E16</f>
        <v>3138.2082181888</v>
      </c>
      <c r="N16" s="25" t="n">
        <f aca="false">(Asumsi!$B$29*$D16*UkuranKlien+SUM(Asumsi!$B$25:$B$28)*$D16*UkuranKlien*Penggantian)*(Harga*$B16-HPP*$C16)/1000000+SUM(Asumsi!$B$25:$B$29)*$D16*Lisensi+Asumsi!$B$29*$D16*Implementasi-(Asumsi!$B$37*$H16*12+Asumsi!$C$37)*$E16</f>
        <v>4358.2967454624</v>
      </c>
      <c r="O16" s="25" t="n">
        <f aca="false">I16+NPV(Diskonto,J16:N16)/(1+Diskonto)^$G16</f>
        <v>6563.81737348608</v>
      </c>
      <c r="P16" s="25" t="n">
        <f aca="false">I16+NPV(Diskonto,BH16:BL16)/(1+Diskonto)^$G16</f>
        <v>5597.36380952233</v>
      </c>
      <c r="Q16" s="33" t="n">
        <f aca="false">IFERROR(XIRR(I16:N16,AF16:AK16),"negatif")</f>
        <v>1.37365185971422</v>
      </c>
      <c r="R16" s="34" t="n">
        <f aca="false">IF(COUNT(AA16:AE16)=0,"Tidak tercapai",MIN(AA16:AE16))</f>
        <v>1.25331681215298</v>
      </c>
      <c r="S16" s="25" t="n">
        <f aca="false">MIN(U16:Z16)</f>
        <v>-687.057363632</v>
      </c>
      <c r="T16" s="25" t="n">
        <f aca="false">-I16+MAX(0,-J16)+CadanganBulan/12*(Asumsi!$B$33*$H16*12+Asumsi!$C$33)*$E16</f>
        <v>896.32170454</v>
      </c>
      <c r="U16" s="42" t="n">
        <f aca="false">I16</f>
        <v>-687.057363632</v>
      </c>
      <c r="V16" s="42" t="n">
        <f aca="false">U16+J16</f>
        <v>-304.114727264</v>
      </c>
      <c r="W16" s="42" t="n">
        <f aca="false">V16+K16</f>
        <v>896.4164363776</v>
      </c>
      <c r="X16" s="42" t="n">
        <f aca="false">W16+L16</f>
        <v>2982.0361272928</v>
      </c>
      <c r="Y16" s="42" t="n">
        <f aca="false">X16+M16</f>
        <v>6120.2443454816</v>
      </c>
      <c r="Z16" s="42" t="n">
        <f aca="false">Y16+N16</f>
        <v>10478.541090944</v>
      </c>
      <c r="AA16" s="36" t="str">
        <f aca="false">IF(AND(U16&lt;0,V16&gt;=0),AA$3+(-U16)/J16,"")</f>
        <v/>
      </c>
      <c r="AB16" s="36" t="n">
        <f aca="false">IF(AND(V16&lt;0,W16&gt;=0),AB$3+(-V16)/K16,"")</f>
        <v>1.25331681215298</v>
      </c>
      <c r="AC16" s="36" t="str">
        <f aca="false">IF(AND(W16&lt;0,X16&gt;=0),AC$3+(-W16)/L16,"")</f>
        <v/>
      </c>
      <c r="AD16" s="36" t="str">
        <f aca="false">IF(AND(X16&lt;0,Y16&gt;=0),AD$3+(-X16)/M16,"")</f>
        <v/>
      </c>
      <c r="AE16" s="36" t="str">
        <f aca="false">IF(AND(Y16&lt;0,Z16&gt;=0),AE$3+(-Y16)/N16,"")</f>
        <v/>
      </c>
      <c r="AF16" s="43" t="n">
        <f aca="false">DATE(2027,1,1)</f>
        <v>46388</v>
      </c>
      <c r="AG16" s="43" t="n">
        <f aca="false">$AF16+ROUND(365*(1+$G16),0)</f>
        <v>46753</v>
      </c>
      <c r="AH16" s="43" t="n">
        <f aca="false">$AF16+ROUND(365*(2+$G16),0)</f>
        <v>47118</v>
      </c>
      <c r="AI16" s="43" t="n">
        <f aca="false">$AF16+ROUND(365*(3+$G16),0)</f>
        <v>47483</v>
      </c>
      <c r="AJ16" s="43" t="n">
        <f aca="false">$AF16+ROUND(365*(4+$G16),0)</f>
        <v>47848</v>
      </c>
      <c r="AK16" s="43" t="n">
        <f aca="false">$AF16+ROUND(365*(5+$G16),0)</f>
        <v>48213</v>
      </c>
      <c r="AL16" s="42" t="n">
        <f aca="false">(Asumsi!$B$25*$D16*UkuranKlien+0*$D16*UkuranKlien*Penggantian)*Harga*$B16/1000000+SUM(Asumsi!$B$25)*$D16*Lisensi+Asumsi!$B$25*$D16*Implementasi</f>
        <v>2120</v>
      </c>
      <c r="AM16" s="42" t="n">
        <f aca="false">(Asumsi!$B$26*$D16*UkuranKlien+SUM(Asumsi!$B$25)*$D16*UkuranKlien*Penggantian)*Harga*$B16/1000000+SUM(Asumsi!$B$25:$B$26)*$D16*Lisensi+Asumsi!$B$26*$D16*Implementasi</f>
        <v>3650</v>
      </c>
      <c r="AN16" s="42" t="n">
        <f aca="false">(Asumsi!$B$27*$D16*UkuranKlien+SUM(Asumsi!$B$25:$B$26)*$D16*UkuranKlien*Penggantian)*Harga*$B16/1000000+SUM(Asumsi!$B$25:$B$27)*$D16*Lisensi+Asumsi!$B$27*$D16*Implementasi</f>
        <v>5415</v>
      </c>
      <c r="AO16" s="42" t="n">
        <f aca="false">(Asumsi!$B$28*$D16*UkuranKlien+SUM(Asumsi!$B$25:$B$27)*$D16*UkuranKlien*Penggantian)*Harga*$B16/1000000+SUM(Asumsi!$B$25:$B$28)*$D16*Lisensi+Asumsi!$B$28*$D16*Implementasi</f>
        <v>7415</v>
      </c>
      <c r="AP16" s="42" t="n">
        <f aca="false">(Asumsi!$B$29*$D16*UkuranKlien+SUM(Asumsi!$B$25:$B$28)*$D16*UkuranKlien*Penggantian)*Harga*$B16/1000000+SUM(Asumsi!$B$25:$B$29)*$D16*Lisensi+Asumsi!$B$29*$D16*Implementasi</f>
        <v>9650</v>
      </c>
      <c r="AQ16" s="42" t="n">
        <f aca="false">I16/MasaAmortisasi</f>
        <v>-171.764340908</v>
      </c>
      <c r="AR16" s="42" t="n">
        <f aca="false">J16+IF(1&lt;MasaAmortisasi,I16/MasaAmortisasi,0)</f>
        <v>211.17829546</v>
      </c>
      <c r="AS16" s="42" t="n">
        <f aca="false">K16+IF(2&lt;MasaAmortisasi,I16/MasaAmortisasi,0)</f>
        <v>1028.7668227336</v>
      </c>
      <c r="AT16" s="42" t="n">
        <f aca="false">L16+IF(3&lt;MasaAmortisasi,I16/MasaAmortisasi,0)</f>
        <v>1913.8553500072</v>
      </c>
      <c r="AU16" s="42" t="n">
        <f aca="false">M16+IF(4&lt;MasaAmortisasi,I16/MasaAmortisasi,0)</f>
        <v>3138.2082181888</v>
      </c>
      <c r="AV16" s="42" t="n">
        <f aca="false">N16+IF(5&lt;MasaAmortisasi,I16/MasaAmortisasi,0)</f>
        <v>4358.2967454624</v>
      </c>
      <c r="AW16" s="42" t="n">
        <f aca="false">MAX(0,-AQ16)</f>
        <v>171.764340908</v>
      </c>
      <c r="AX16" s="42" t="n">
        <f aca="false">MAX(0,AW16-AR16)</f>
        <v>0</v>
      </c>
      <c r="AY16" s="42" t="n">
        <f aca="false">MAX(0,AX16-AS16)</f>
        <v>0</v>
      </c>
      <c r="AZ16" s="42" t="n">
        <f aca="false">MAX(0,AY16-AT16)</f>
        <v>0</v>
      </c>
      <c r="BA16" s="42" t="n">
        <f aca="false">MAX(0,AZ16-AU16)</f>
        <v>0</v>
      </c>
      <c r="BB16" s="42" t="n">
        <f aca="false">MAX(0,BA16-AV16)</f>
        <v>0</v>
      </c>
      <c r="BC16" s="42" t="n">
        <f aca="false">MAX(0,AR16-AW16)*IF(AL16&lt;=BatasOmzet31E,TarifPPh*(1-Potongan31E*MIN(1,Omzet31E/MAX(AL16,0.000001))),TarifPPh)</f>
        <v>4.33553500072001</v>
      </c>
      <c r="BD16" s="42" t="n">
        <f aca="false">MAX(0,AS16-AX16)*IF(AM16&lt;=BatasOmzet31E,TarifPPh*(1-Potongan31E*MIN(1,Omzet31E/MAX(AM16,0.000001))),TarifPPh)</f>
        <v>113.164350500696</v>
      </c>
      <c r="BE16" s="42" t="n">
        <f aca="false">MAX(0,AT16-AY16)*IF(AN16&lt;=BatasOmzet31E,TarifPPh*(1-Potongan31E*MIN(1,Omzet31E/MAX(AN16,0.000001))),TarifPPh)</f>
        <v>234.434026529968</v>
      </c>
      <c r="BF16" s="42" t="n">
        <f aca="false">MAX(0,AU16-AZ16)*IF(AO16&lt;=BatasOmzet31E,TarifPPh*(1-Potongan31E*MIN(1,Omzet31E/MAX(AO16,0.000001))),TarifPPh)</f>
        <v>466.943375202657</v>
      </c>
      <c r="BG16" s="42" t="n">
        <f aca="false">MAX(0,AV16-BA16)*IF(AP16&lt;=BatasOmzet31E,TarifPPh*(1-Potongan31E*MIN(1,Omzet31E/MAX(AP16,0.000001))),TarifPPh)</f>
        <v>720.360964664511</v>
      </c>
      <c r="BH16" s="42" t="n">
        <f aca="false">J16-BC16</f>
        <v>378.60710136728</v>
      </c>
      <c r="BI16" s="42" t="n">
        <f aca="false">K16-BD16</f>
        <v>1087.3668131409</v>
      </c>
      <c r="BJ16" s="42" t="n">
        <f aca="false">L16-BE16</f>
        <v>1851.18566438523</v>
      </c>
      <c r="BK16" s="42" t="n">
        <f aca="false">M16-BF16</f>
        <v>2671.26484298614</v>
      </c>
      <c r="BL16" s="42" t="n">
        <f aca="false">N16-BG16</f>
        <v>3637.93578079789</v>
      </c>
    </row>
    <row r="17" customFormat="false" ht="15" hidden="false" customHeight="false" outlineLevel="0" collapsed="false">
      <c r="A17" s="4" t="s">
        <v>268</v>
      </c>
      <c r="B17" s="44" t="n">
        <f aca="false">110000/Harga</f>
        <v>1.22222222222222</v>
      </c>
      <c r="C17" s="38" t="n">
        <v>1</v>
      </c>
      <c r="D17" s="38" t="n">
        <v>1</v>
      </c>
      <c r="E17" s="38" t="n">
        <v>1</v>
      </c>
      <c r="F17" s="39" t="n">
        <f aca="false">LamaDev</f>
        <v>12</v>
      </c>
      <c r="G17" s="40" t="n">
        <f aca="false">($F17-LamaDev)/12</f>
        <v>0</v>
      </c>
      <c r="H17" s="41" t="n">
        <f aca="false">BiayaOrang</f>
        <v>15.4145333333333</v>
      </c>
      <c r="I17" s="25" t="n">
        <f aca="false">-(Capex-TimInti*BiayaOrang*LamaDev+TimInti*$H17*$F17)</f>
        <v>-1274.872</v>
      </c>
      <c r="J17" s="25" t="n">
        <f aca="false">(Asumsi!$B$25*$D17*UkuranKlien+0*$D17*UkuranKlien*Penggantian)*(Harga*$B17-HPP*$C17)/1000000+SUM(Asumsi!$B$25)*$D17*Lisensi+Asumsi!$B$25*$D17*Implementasi-(Asumsi!$B$33*$H17*12+Asumsi!$C$33)*$E17</f>
        <v>195.128</v>
      </c>
      <c r="K17" s="25" t="n">
        <f aca="false">(Asumsi!$B$26*$D17*UkuranKlien+SUM(Asumsi!$B$25)*$D17*UkuranKlien*Penggantian)*(Harga*$B17-HPP*$C17)/1000000+SUM(Asumsi!$B$25:$B$26)*$D17*Lisensi+Asumsi!$B$26*$D17*Implementasi-(Asumsi!$B$34*$H17*12+Asumsi!$C$34)*$E17</f>
        <v>1155.1536</v>
      </c>
      <c r="L17" s="25" t="n">
        <f aca="false">(Asumsi!$B$27*$D17*UkuranKlien+SUM(Asumsi!$B$25:$B$26)*$D17*UkuranKlien*Penggantian)*(Harga*$B17-HPP*$C17)/1000000+SUM(Asumsi!$B$25:$B$27)*$D17*Lisensi+Asumsi!$B$27*$D17*Implementasi-(Asumsi!$B$35*$H17*12+Asumsi!$C$35)*$E17</f>
        <v>2212.6792</v>
      </c>
      <c r="M17" s="25" t="n">
        <f aca="false">(Asumsi!$B$28*$D17*UkuranKlien+SUM(Asumsi!$B$25:$B$27)*$D17*UkuranKlien*Penggantian)*(Harga*$B17-HPP*$C17)/1000000+SUM(Asumsi!$B$25:$B$28)*$D17*Lisensi+Asumsi!$B$28*$D17*Implementasi-(Asumsi!$B$36*$H17*12+Asumsi!$C$36)*$E17</f>
        <v>3467.7048</v>
      </c>
      <c r="N17" s="25" t="n">
        <f aca="false">(Asumsi!$B$29*$D17*UkuranKlien+SUM(Asumsi!$B$25:$B$28)*$D17*UkuranKlien*Penggantian)*(Harga*$B17-HPP*$C17)/1000000+SUM(Asumsi!$B$25:$B$29)*$D17*Lisensi+Asumsi!$B$29*$D17*Implementasi-(Asumsi!$B$37*$H17*12+Asumsi!$C$37)*$E17</f>
        <v>4920.2304</v>
      </c>
      <c r="O17" s="25" t="n">
        <f aca="false">I17+NPV(Diskonto,J17:N17)/(1+Diskonto)^$G17</f>
        <v>6390.83211168431</v>
      </c>
      <c r="P17" s="25" t="n">
        <f aca="false">I17+NPV(Diskonto,BH17:BL17)/(1+Diskonto)^$G17</f>
        <v>5337.25280849342</v>
      </c>
      <c r="Q17" s="33" t="n">
        <f aca="false">IFERROR(XIRR(I17:N17,AF17:AK17),"negatif")</f>
        <v>0.868563971199546</v>
      </c>
      <c r="R17" s="34" t="n">
        <f aca="false">IF(COUNT(AA17:AE17)=0,"Tidak tercapai",MIN(AA17:AE17))</f>
        <v>1.93471898455755</v>
      </c>
      <c r="S17" s="25" t="n">
        <f aca="false">MIN(U17:Z17)</f>
        <v>-1274.872</v>
      </c>
      <c r="T17" s="25" t="n">
        <f aca="false">-I17+MAX(0,-J17)+CadanganBulan/12*(Asumsi!$B$33*$H17*12+Asumsi!$C$33)*$E17</f>
        <v>1631.09</v>
      </c>
      <c r="U17" s="42" t="n">
        <f aca="false">I17</f>
        <v>-1274.872</v>
      </c>
      <c r="V17" s="42" t="n">
        <f aca="false">U17+J17</f>
        <v>-1079.744</v>
      </c>
      <c r="W17" s="42" t="n">
        <f aca="false">V17+K17</f>
        <v>75.4096000000011</v>
      </c>
      <c r="X17" s="42" t="n">
        <f aca="false">W17+L17</f>
        <v>2288.0888</v>
      </c>
      <c r="Y17" s="42" t="n">
        <f aca="false">X17+M17</f>
        <v>5755.7936</v>
      </c>
      <c r="Z17" s="42" t="n">
        <f aca="false">Y17+N17</f>
        <v>10676.024</v>
      </c>
      <c r="AA17" s="36" t="str">
        <f aca="false">IF(AND(U17&lt;0,V17&gt;=0),AA$3+(-U17)/J17,"")</f>
        <v/>
      </c>
      <c r="AB17" s="36" t="n">
        <f aca="false">IF(AND(V17&lt;0,W17&gt;=0),AB$3+(-V17)/K17,"")</f>
        <v>1.93471898455755</v>
      </c>
      <c r="AC17" s="36" t="str">
        <f aca="false">IF(AND(W17&lt;0,X17&gt;=0),AC$3+(-W17)/L17,"")</f>
        <v/>
      </c>
      <c r="AD17" s="36" t="str">
        <f aca="false">IF(AND(X17&lt;0,Y17&gt;=0),AD$3+(-X17)/M17,"")</f>
        <v/>
      </c>
      <c r="AE17" s="36" t="str">
        <f aca="false">IF(AND(Y17&lt;0,Z17&gt;=0),AE$3+(-Y17)/N17,"")</f>
        <v/>
      </c>
      <c r="AF17" s="43" t="n">
        <f aca="false">DATE(2027,1,1)</f>
        <v>46388</v>
      </c>
      <c r="AG17" s="43" t="n">
        <f aca="false">$AF17+ROUND(365*(1+$G17),0)</f>
        <v>46753</v>
      </c>
      <c r="AH17" s="43" t="n">
        <f aca="false">$AF17+ROUND(365*(2+$G17),0)</f>
        <v>47118</v>
      </c>
      <c r="AI17" s="43" t="n">
        <f aca="false">$AF17+ROUND(365*(3+$G17),0)</f>
        <v>47483</v>
      </c>
      <c r="AJ17" s="43" t="n">
        <f aca="false">$AF17+ROUND(365*(4+$G17),0)</f>
        <v>47848</v>
      </c>
      <c r="AK17" s="43" t="n">
        <f aca="false">$AF17+ROUND(365*(5+$G17),0)</f>
        <v>48213</v>
      </c>
      <c r="AL17" s="42" t="n">
        <f aca="false">(Asumsi!$B$25*$D17*UkuranKlien+0*$D17*UkuranKlien*Penggantian)*Harga*$B17/1000000+SUM(Asumsi!$B$25)*$D17*Lisensi+Asumsi!$B$25*$D17*Implementasi</f>
        <v>2520</v>
      </c>
      <c r="AM17" s="42" t="n">
        <f aca="false">(Asumsi!$B$26*$D17*UkuranKlien+SUM(Asumsi!$B$25)*$D17*UkuranKlien*Penggantian)*Harga*$B17/1000000+SUM(Asumsi!$B$25:$B$26)*$D17*Lisensi+Asumsi!$B$26*$D17*Implementasi</f>
        <v>4310</v>
      </c>
      <c r="AN17" s="42" t="n">
        <f aca="false">(Asumsi!$B$27*$D17*UkuranKlien+SUM(Asumsi!$B$25:$B$26)*$D17*UkuranKlien*Penggantian)*Harga*$B17/1000000+SUM(Asumsi!$B$25:$B$27)*$D17*Lisensi+Asumsi!$B$27*$D17*Implementasi</f>
        <v>6365</v>
      </c>
      <c r="AO17" s="42" t="n">
        <f aca="false">(Asumsi!$B$28*$D17*UkuranKlien+SUM(Asumsi!$B$25:$B$27)*$D17*UkuranKlien*Penggantian)*Harga*$B17/1000000+SUM(Asumsi!$B$25:$B$28)*$D17*Lisensi+Asumsi!$B$28*$D17*Implementasi</f>
        <v>8685</v>
      </c>
      <c r="AP17" s="42" t="n">
        <f aca="false">(Asumsi!$B$29*$D17*UkuranKlien+SUM(Asumsi!$B$25:$B$28)*$D17*UkuranKlien*Penggantian)*Harga*$B17/1000000+SUM(Asumsi!$B$25:$B$29)*$D17*Lisensi+Asumsi!$B$29*$D17*Implementasi</f>
        <v>11270</v>
      </c>
      <c r="AQ17" s="42" t="n">
        <f aca="false">I17/MasaAmortisasi</f>
        <v>-318.718</v>
      </c>
      <c r="AR17" s="42" t="n">
        <f aca="false">J17+IF(1&lt;MasaAmortisasi,I17/MasaAmortisasi,0)</f>
        <v>-123.59</v>
      </c>
      <c r="AS17" s="42" t="n">
        <f aca="false">K17+IF(2&lt;MasaAmortisasi,I17/MasaAmortisasi,0)</f>
        <v>836.435600000001</v>
      </c>
      <c r="AT17" s="42" t="n">
        <f aca="false">L17+IF(3&lt;MasaAmortisasi,I17/MasaAmortisasi,0)</f>
        <v>1893.9612</v>
      </c>
      <c r="AU17" s="42" t="n">
        <f aca="false">M17+IF(4&lt;MasaAmortisasi,I17/MasaAmortisasi,0)</f>
        <v>3467.7048</v>
      </c>
      <c r="AV17" s="42" t="n">
        <f aca="false">N17+IF(5&lt;MasaAmortisasi,I17/MasaAmortisasi,0)</f>
        <v>4920.2304</v>
      </c>
      <c r="AW17" s="42" t="n">
        <f aca="false">MAX(0,-AQ17)</f>
        <v>318.718</v>
      </c>
      <c r="AX17" s="42" t="n">
        <f aca="false">MAX(0,AW17-AR17)</f>
        <v>442.308</v>
      </c>
      <c r="AY17" s="42" t="n">
        <f aca="false">MAX(0,AX17-AS17)</f>
        <v>0</v>
      </c>
      <c r="AZ17" s="42" t="n">
        <f aca="false">MAX(0,AY17-AT17)</f>
        <v>0</v>
      </c>
      <c r="BA17" s="42" t="n">
        <f aca="false">MAX(0,AZ17-AU17)</f>
        <v>0</v>
      </c>
      <c r="BB17" s="42" t="n">
        <f aca="false">MAX(0,BA17-AV17)</f>
        <v>0</v>
      </c>
      <c r="BC17" s="42" t="n">
        <f aca="false">MAX(0,AR17-AW17)*IF(AL17&lt;=BatasOmzet31E,TarifPPh*(1-Potongan31E*MIN(1,Omzet31E/MAX(AL17,0.000001))),TarifPPh)</f>
        <v>0</v>
      </c>
      <c r="BD17" s="42" t="n">
        <f aca="false">MAX(0,AS17-AX17)*IF(AM17&lt;=BatasOmzet31E,TarifPPh*(1-Potongan31E*MIN(1,Omzet31E/MAX(AM17,0.000001))),TarifPPh)</f>
        <v>43.3540360000001</v>
      </c>
      <c r="BE17" s="42" t="n">
        <f aca="false">MAX(0,AT17-AY17)*IF(AN17&lt;=BatasOmzet31E,TarifPPh*(1-Potongan31E*MIN(1,Omzet31E/MAX(AN17,0.000001))),TarifPPh)</f>
        <v>259.560464219953</v>
      </c>
      <c r="BF17" s="42" t="n">
        <f aca="false">MAX(0,AU17-AZ17)*IF(AO17&lt;=BatasOmzet31E,TarifPPh*(1-Potongan31E*MIN(1,Omzet31E/MAX(AO17,0.000001))),TarifPPh)</f>
        <v>552.077769367876</v>
      </c>
      <c r="BG17" s="42" t="n">
        <f aca="false">MAX(0,AV17-BA17)*IF(AP17&lt;=BatasOmzet31E,TarifPPh*(1-Potongan31E*MIN(1,Omzet31E/MAX(AP17,0.000001))),TarifPPh)</f>
        <v>851.937675471163</v>
      </c>
      <c r="BH17" s="42" t="n">
        <f aca="false">J17-BC17</f>
        <v>195.128</v>
      </c>
      <c r="BI17" s="42" t="n">
        <f aca="false">K17-BD17</f>
        <v>1111.799564</v>
      </c>
      <c r="BJ17" s="42" t="n">
        <f aca="false">L17-BE17</f>
        <v>1953.11873578005</v>
      </c>
      <c r="BK17" s="42" t="n">
        <f aca="false">M17-BF17</f>
        <v>2915.62703063213</v>
      </c>
      <c r="BL17" s="42" t="n">
        <f aca="false">N17-BG17</f>
        <v>4068.29272452884</v>
      </c>
    </row>
    <row r="18" customFormat="false" ht="15" hidden="false" customHeight="false" outlineLevel="0" collapsed="false">
      <c r="A18" s="4" t="s">
        <v>269</v>
      </c>
      <c r="B18" s="38" t="n">
        <v>1</v>
      </c>
      <c r="C18" s="38" t="n">
        <v>1</v>
      </c>
      <c r="D18" s="38" t="n">
        <v>1.3</v>
      </c>
      <c r="E18" s="38" t="n">
        <v>1</v>
      </c>
      <c r="F18" s="39" t="n">
        <f aca="false">LamaDev</f>
        <v>12</v>
      </c>
      <c r="G18" s="40" t="n">
        <f aca="false">($F18-LamaDev)/12</f>
        <v>0</v>
      </c>
      <c r="H18" s="41" t="n">
        <f aca="false">BiayaOrang</f>
        <v>15.4145333333333</v>
      </c>
      <c r="I18" s="25" t="n">
        <f aca="false">-(Capex-TimInti*BiayaOrang*LamaDev+TimInti*$H18*$F18)</f>
        <v>-1274.872</v>
      </c>
      <c r="J18" s="25" t="n">
        <f aca="false">(Asumsi!$B$25*$D18*UkuranKlien+0*$D18*UkuranKlien*Penggantian)*(Harga*$B18-HPP*$C18)/1000000+SUM(Asumsi!$B$25)*$D18*Lisensi+Asumsi!$B$25*$D18*Implementasi-(Asumsi!$B$33*$H18*12+Asumsi!$C$33)*$E18</f>
        <v>161.128</v>
      </c>
      <c r="K18" s="25" t="n">
        <f aca="false">(Asumsi!$B$26*$D18*UkuranKlien+SUM(Asumsi!$B$25)*$D18*UkuranKlien*Penggantian)*(Harga*$B18-HPP*$C18)/1000000+SUM(Asumsi!$B$25:$B$26)*$D18*Lisensi+Asumsi!$B$26*$D18*Implementasi-(Asumsi!$B$34*$H18*12+Asumsi!$C$34)*$E18</f>
        <v>1144.6536</v>
      </c>
      <c r="L18" s="25" t="n">
        <f aca="false">(Asumsi!$B$27*$D18*UkuranKlien+SUM(Asumsi!$B$25:$B$26)*$D18*UkuranKlien*Penggantian)*(Harga*$B18-HPP*$C18)/1000000+SUM(Asumsi!$B$25:$B$27)*$D18*Lisensi+Asumsi!$B$27*$D18*Implementasi-(Asumsi!$B$35*$H18*12+Asumsi!$C$35)*$E18</f>
        <v>2245.9292</v>
      </c>
      <c r="M18" s="25" t="n">
        <f aca="false">(Asumsi!$B$28*$D18*UkuranKlien+SUM(Asumsi!$B$25:$B$27)*$D18*UkuranKlien*Penggantian)*(Harga*$B18-HPP*$C18)/1000000+SUM(Asumsi!$B$25:$B$28)*$D18*Lisensi+Asumsi!$B$28*$D18*Implementasi-(Asumsi!$B$36*$H18*12+Asumsi!$C$36)*$E18</f>
        <v>3564.9548</v>
      </c>
      <c r="N18" s="25" t="n">
        <f aca="false">(Asumsi!$B$29*$D18*UkuranKlien+SUM(Asumsi!$B$25:$B$28)*$D18*UkuranKlien*Penggantian)*(Harga*$B18-HPP*$C18)/1000000+SUM(Asumsi!$B$25:$B$29)*$D18*Lisensi+Asumsi!$B$29*$D18*Implementasi-(Asumsi!$B$37*$H18*12+Asumsi!$C$37)*$E18</f>
        <v>5101.7304</v>
      </c>
      <c r="O18" s="25" t="n">
        <f aca="false">I18+NPV(Diskonto,J18:N18)/(1+Diskonto)^$G18</f>
        <v>6540.56323379047</v>
      </c>
      <c r="P18" s="25" t="n">
        <f aca="false">I18+NPV(Diskonto,BH18:BL18)/(1+Diskonto)^$G18</f>
        <v>5421.64513608699</v>
      </c>
      <c r="Q18" s="33" t="n">
        <f aca="false">IFERROR(XIRR(I18:N18,AF18:AK18),"negatif")</f>
        <v>0.868489719312842</v>
      </c>
      <c r="R18" s="34" t="n">
        <f aca="false">IF(COUNT(AA18:AE18)=0,"Tidak tercapai",MIN(AA18:AE18))</f>
        <v>1.9729965467282</v>
      </c>
      <c r="S18" s="25" t="n">
        <f aca="false">MIN(U18:Z18)</f>
        <v>-1274.872</v>
      </c>
      <c r="T18" s="25" t="n">
        <f aca="false">-I18+MAX(0,-J18)+CadanganBulan/12*(Asumsi!$B$33*$H18*12+Asumsi!$C$33)*$E18</f>
        <v>1631.09</v>
      </c>
      <c r="U18" s="42" t="n">
        <f aca="false">I18</f>
        <v>-1274.872</v>
      </c>
      <c r="V18" s="42" t="n">
        <f aca="false">U18+J18</f>
        <v>-1113.744</v>
      </c>
      <c r="W18" s="42" t="n">
        <f aca="false">V18+K18</f>
        <v>30.9096000000004</v>
      </c>
      <c r="X18" s="42" t="n">
        <f aca="false">W18+L18</f>
        <v>2276.8388</v>
      </c>
      <c r="Y18" s="42" t="n">
        <f aca="false">X18+M18</f>
        <v>5841.7936</v>
      </c>
      <c r="Z18" s="42" t="n">
        <f aca="false">Y18+N18</f>
        <v>10943.524</v>
      </c>
      <c r="AA18" s="36" t="str">
        <f aca="false">IF(AND(U18&lt;0,V18&gt;=0),AA$3+(-U18)/J18,"")</f>
        <v/>
      </c>
      <c r="AB18" s="36" t="n">
        <f aca="false">IF(AND(V18&lt;0,W18&gt;=0),AB$3+(-V18)/K18,"")</f>
        <v>1.9729965467282</v>
      </c>
      <c r="AC18" s="36" t="str">
        <f aca="false">IF(AND(W18&lt;0,X18&gt;=0),AC$3+(-W18)/L18,"")</f>
        <v/>
      </c>
      <c r="AD18" s="36" t="str">
        <f aca="false">IF(AND(X18&lt;0,Y18&gt;=0),AD$3+(-X18)/M18,"")</f>
        <v/>
      </c>
      <c r="AE18" s="36" t="str">
        <f aca="false">IF(AND(Y18&lt;0,Z18&gt;=0),AE$3+(-Y18)/N18,"")</f>
        <v/>
      </c>
      <c r="AF18" s="43" t="n">
        <f aca="false">DATE(2027,1,1)</f>
        <v>46388</v>
      </c>
      <c r="AG18" s="43" t="n">
        <f aca="false">$AF18+ROUND(365*(1+$G18),0)</f>
        <v>46753</v>
      </c>
      <c r="AH18" s="43" t="n">
        <f aca="false">$AF18+ROUND(365*(2+$G18),0)</f>
        <v>47118</v>
      </c>
      <c r="AI18" s="43" t="n">
        <f aca="false">$AF18+ROUND(365*(3+$G18),0)</f>
        <v>47483</v>
      </c>
      <c r="AJ18" s="43" t="n">
        <f aca="false">$AF18+ROUND(365*(4+$G18),0)</f>
        <v>47848</v>
      </c>
      <c r="AK18" s="43" t="n">
        <f aca="false">$AF18+ROUND(365*(5+$G18),0)</f>
        <v>48213</v>
      </c>
      <c r="AL18" s="42" t="n">
        <f aca="false">(Asumsi!$B$25*$D18*UkuranKlien+0*$D18*UkuranKlien*Penggantian)*Harga*$B18/1000000+SUM(Asumsi!$B$25)*$D18*Lisensi+Asumsi!$B$25*$D18*Implementasi</f>
        <v>2756</v>
      </c>
      <c r="AM18" s="42" t="n">
        <f aca="false">(Asumsi!$B$26*$D18*UkuranKlien+SUM(Asumsi!$B$25)*$D18*UkuranKlien*Penggantian)*Harga*$B18/1000000+SUM(Asumsi!$B$25:$B$26)*$D18*Lisensi+Asumsi!$B$26*$D18*Implementasi</f>
        <v>4745</v>
      </c>
      <c r="AN18" s="42" t="n">
        <f aca="false">(Asumsi!$B$27*$D18*UkuranKlien+SUM(Asumsi!$B$25:$B$26)*$D18*UkuranKlien*Penggantian)*Harga*$B18/1000000+SUM(Asumsi!$B$25:$B$27)*$D18*Lisensi+Asumsi!$B$27*$D18*Implementasi</f>
        <v>7039.5</v>
      </c>
      <c r="AO18" s="42" t="n">
        <f aca="false">(Asumsi!$B$28*$D18*UkuranKlien+SUM(Asumsi!$B$25:$B$27)*$D18*UkuranKlien*Penggantian)*Harga*$B18/1000000+SUM(Asumsi!$B$25:$B$28)*$D18*Lisensi+Asumsi!$B$28*$D18*Implementasi</f>
        <v>9639.5</v>
      </c>
      <c r="AP18" s="42" t="n">
        <f aca="false">(Asumsi!$B$29*$D18*UkuranKlien+SUM(Asumsi!$B$25:$B$28)*$D18*UkuranKlien*Penggantian)*Harga*$B18/1000000+SUM(Asumsi!$B$25:$B$29)*$D18*Lisensi+Asumsi!$B$29*$D18*Implementasi</f>
        <v>12545</v>
      </c>
      <c r="AQ18" s="42" t="n">
        <f aca="false">I18/MasaAmortisasi</f>
        <v>-318.718</v>
      </c>
      <c r="AR18" s="42" t="n">
        <f aca="false">J18+IF(1&lt;MasaAmortisasi,I18/MasaAmortisasi,0)</f>
        <v>-157.59</v>
      </c>
      <c r="AS18" s="42" t="n">
        <f aca="false">K18+IF(2&lt;MasaAmortisasi,I18/MasaAmortisasi,0)</f>
        <v>825.9356</v>
      </c>
      <c r="AT18" s="42" t="n">
        <f aca="false">L18+IF(3&lt;MasaAmortisasi,I18/MasaAmortisasi,0)</f>
        <v>1927.2112</v>
      </c>
      <c r="AU18" s="42" t="n">
        <f aca="false">M18+IF(4&lt;MasaAmortisasi,I18/MasaAmortisasi,0)</f>
        <v>3564.9548</v>
      </c>
      <c r="AV18" s="42" t="n">
        <f aca="false">N18+IF(5&lt;MasaAmortisasi,I18/MasaAmortisasi,0)</f>
        <v>5101.7304</v>
      </c>
      <c r="AW18" s="42" t="n">
        <f aca="false">MAX(0,-AQ18)</f>
        <v>318.718</v>
      </c>
      <c r="AX18" s="42" t="n">
        <f aca="false">MAX(0,AW18-AR18)</f>
        <v>476.308</v>
      </c>
      <c r="AY18" s="42" t="n">
        <f aca="false">MAX(0,AX18-AS18)</f>
        <v>0</v>
      </c>
      <c r="AZ18" s="42" t="n">
        <f aca="false">MAX(0,AY18-AT18)</f>
        <v>0</v>
      </c>
      <c r="BA18" s="42" t="n">
        <f aca="false">MAX(0,AZ18-AU18)</f>
        <v>0</v>
      </c>
      <c r="BB18" s="42" t="n">
        <f aca="false">MAX(0,BA18-AV18)</f>
        <v>0</v>
      </c>
      <c r="BC18" s="42" t="n">
        <f aca="false">MAX(0,AR18-AW18)*IF(AL18&lt;=BatasOmzet31E,TarifPPh*(1-Potongan31E*MIN(1,Omzet31E/MAX(AL18,0.000001))),TarifPPh)</f>
        <v>0</v>
      </c>
      <c r="BD18" s="42" t="n">
        <f aca="false">MAX(0,AS18-AX18)*IF(AM18&lt;=BatasOmzet31E,TarifPPh*(1-Potongan31E*MIN(1,Omzet31E/MAX(AM18,0.000001))),TarifPPh)</f>
        <v>38.459036</v>
      </c>
      <c r="BE18" s="42" t="n">
        <f aca="false">MAX(0,AT18-AY18)*IF(AN18&lt;=BatasOmzet31E,TarifPPh*(1-Potongan31E*MIN(1,Omzet31E/MAX(AN18,0.000001))),TarifPPh)</f>
        <v>279.435357586192</v>
      </c>
      <c r="BF18" s="42" t="n">
        <f aca="false">MAX(0,AU18-AZ18)*IF(AO18&lt;=BatasOmzet31E,TarifPPh*(1-Potongan31E*MIN(1,Omzet31E/MAX(AO18,0.000001))),TarifPPh)</f>
        <v>589.020992832823</v>
      </c>
      <c r="BG18" s="42" t="n">
        <f aca="false">MAX(0,AV18-BA18)*IF(AP18&lt;=BatasOmzet31E,TarifPPh*(1-Potongan31E*MIN(1,Omzet31E/MAX(AP18,0.000001))),TarifPPh)</f>
        <v>907.656602611399</v>
      </c>
      <c r="BH18" s="42" t="n">
        <f aca="false">J18-BC18</f>
        <v>161.128</v>
      </c>
      <c r="BI18" s="42" t="n">
        <f aca="false">K18-BD18</f>
        <v>1106.194564</v>
      </c>
      <c r="BJ18" s="42" t="n">
        <f aca="false">L18-BE18</f>
        <v>1966.49384241381</v>
      </c>
      <c r="BK18" s="42" t="n">
        <f aca="false">M18-BF18</f>
        <v>2975.93380716718</v>
      </c>
      <c r="BL18" s="42" t="n">
        <f aca="false">N18-BG18</f>
        <v>4194.0737973886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1"/>
  <cols>
    <col collapsed="false" customWidth="true" hidden="false" outlineLevel="0" max="1" min="1" style="0" width="40"/>
    <col collapsed="false" customWidth="true" hidden="false" outlineLevel="0" max="11" min="2" style="0" width="12"/>
    <col collapsed="false" customWidth="true" hidden="true" outlineLevel="1" max="19" min="12" style="0" width="12"/>
    <col collapsed="false" customWidth="true" hidden="false" outlineLevel="0" max="20" min="20" style="0" width="12"/>
  </cols>
  <sheetData>
    <row r="1" customFormat="false" ht="16.15" hidden="false" customHeight="false" outlineLevel="0" collapsed="false">
      <c r="A1" s="13" t="s">
        <v>270</v>
      </c>
    </row>
    <row r="2" customFormat="false" ht="15" hidden="false" customHeight="false" outlineLevel="0" collapsed="false">
      <c r="A2" s="8" t="s">
        <v>271</v>
      </c>
    </row>
    <row r="4" customFormat="false" ht="15" hidden="false" customHeight="false" outlineLevel="0" collapsed="false">
      <c r="A4" s="9" t="s">
        <v>53</v>
      </c>
      <c r="B4" s="9" t="s">
        <v>141</v>
      </c>
      <c r="C4" s="9" t="s">
        <v>90</v>
      </c>
      <c r="D4" s="9" t="s">
        <v>91</v>
      </c>
      <c r="E4" s="9" t="s">
        <v>92</v>
      </c>
    </row>
    <row r="5" customFormat="false" ht="15" hidden="false" customHeight="false" outlineLevel="0" collapsed="false">
      <c r="A5" s="4" t="s">
        <v>272</v>
      </c>
      <c r="B5" s="25" t="n">
        <v>0</v>
      </c>
      <c r="C5" s="16" t="n">
        <v>900</v>
      </c>
      <c r="D5" s="16" t="n">
        <v>2400</v>
      </c>
      <c r="E5" s="16" t="n">
        <v>4800</v>
      </c>
    </row>
    <row r="6" customFormat="false" ht="15" hidden="false" customHeight="false" outlineLevel="0" collapsed="false">
      <c r="A6" s="4" t="s">
        <v>273</v>
      </c>
      <c r="B6" s="25" t="n">
        <v>0</v>
      </c>
      <c r="C6" s="18" t="n">
        <v>350</v>
      </c>
      <c r="D6" s="18" t="n">
        <v>950</v>
      </c>
      <c r="E6" s="18" t="n">
        <v>1900</v>
      </c>
    </row>
    <row r="7" customFormat="false" ht="15" hidden="false" customHeight="false" outlineLevel="0" collapsed="false">
      <c r="A7" s="4" t="s">
        <v>151</v>
      </c>
      <c r="B7" s="25" t="n">
        <v>0</v>
      </c>
      <c r="C7" s="18" t="n">
        <v>600</v>
      </c>
      <c r="D7" s="18" t="n">
        <v>800</v>
      </c>
      <c r="E7" s="18" t="n">
        <v>1100</v>
      </c>
    </row>
    <row r="8" customFormat="false" ht="15" hidden="false" customHeight="false" outlineLevel="0" collapsed="false">
      <c r="A8" s="4" t="s">
        <v>274</v>
      </c>
      <c r="B8" s="18" t="n">
        <v>580</v>
      </c>
      <c r="C8" s="25" t="n">
        <v>0</v>
      </c>
      <c r="D8" s="25" t="n">
        <v>0</v>
      </c>
      <c r="E8" s="25" t="n">
        <v>0</v>
      </c>
    </row>
    <row r="9" customFormat="false" ht="15" hidden="false" customHeight="false" outlineLevel="0" collapsed="false">
      <c r="A9" s="4" t="s">
        <v>55</v>
      </c>
      <c r="B9" s="11" t="n">
        <f aca="false">Diskonto</f>
        <v>0.12</v>
      </c>
    </row>
    <row r="11" customFormat="false" ht="15" hidden="false" customHeight="false" outlineLevel="0" collapsed="false">
      <c r="A11" s="3" t="s">
        <v>153</v>
      </c>
      <c r="B11" s="32" t="n">
        <f aca="false">B5-B6-B7-B8</f>
        <v>-580</v>
      </c>
      <c r="C11" s="32" t="n">
        <f aca="false">C5-C6-C7-C8</f>
        <v>-50</v>
      </c>
      <c r="D11" s="32" t="n">
        <f aca="false">D5-D6-D7-D8</f>
        <v>650</v>
      </c>
      <c r="E11" s="32" t="n">
        <f aca="false">E5-E6-E7-E8</f>
        <v>1800</v>
      </c>
    </row>
    <row r="12" customFormat="false" ht="15" hidden="false" customHeight="false" outlineLevel="0" collapsed="false">
      <c r="A12" s="3" t="s">
        <v>154</v>
      </c>
      <c r="B12" s="32" t="n">
        <f aca="false">B11</f>
        <v>-580</v>
      </c>
      <c r="C12" s="32" t="n">
        <f aca="false">B12+C11</f>
        <v>-630</v>
      </c>
      <c r="D12" s="32" t="n">
        <f aca="false">C12+D11</f>
        <v>20</v>
      </c>
      <c r="E12" s="32" t="n">
        <f aca="false">D12+E11</f>
        <v>1820</v>
      </c>
    </row>
    <row r="13" customFormat="false" ht="15" hidden="false" customHeight="false" outlineLevel="0" collapsed="false">
      <c r="A13" s="8" t="s">
        <v>159</v>
      </c>
      <c r="B13" s="35" t="n">
        <v>0</v>
      </c>
      <c r="C13" s="35" t="n">
        <v>1</v>
      </c>
      <c r="D13" s="35" t="n">
        <v>2</v>
      </c>
      <c r="E13" s="35" t="n">
        <v>3</v>
      </c>
    </row>
    <row r="14" customFormat="false" ht="15" hidden="false" customHeight="false" outlineLevel="0" collapsed="false">
      <c r="A14" s="8" t="s">
        <v>160</v>
      </c>
      <c r="C14" s="36" t="str">
        <f aca="false">IF(AND(B12&lt;0,C12&gt;=0),B13+(-B12)/C11,"")</f>
        <v/>
      </c>
      <c r="D14" s="36" t="n">
        <f aca="false">IF(AND(C12&lt;0,D12&gt;=0),C13+(-C12)/D11,"")</f>
        <v>1.96923076923077</v>
      </c>
      <c r="E14" s="36" t="str">
        <f aca="false">IF(AND(D12&lt;0,E12&gt;=0),D13+(-D12)/E11,"")</f>
        <v/>
      </c>
    </row>
    <row r="15" customFormat="false" ht="15" hidden="false" customHeight="false" outlineLevel="0" collapsed="false">
      <c r="A15" s="4" t="s">
        <v>156</v>
      </c>
      <c r="B15" s="25" t="n">
        <f aca="false">B11+NPV(B9,C11:E11)</f>
        <v>1174.73760932945</v>
      </c>
    </row>
    <row r="16" customFormat="false" ht="15" hidden="false" customHeight="false" outlineLevel="0" collapsed="false">
      <c r="A16" s="4" t="s">
        <v>157</v>
      </c>
      <c r="B16" s="33" t="n">
        <f aca="false">IFERROR(IRR(B11:E11),"negatif")</f>
        <v>0.680165581949418</v>
      </c>
    </row>
    <row r="17" customFormat="false" ht="15" hidden="false" customHeight="false" outlineLevel="0" collapsed="false">
      <c r="A17" s="4" t="s">
        <v>275</v>
      </c>
      <c r="B17" s="34" t="n">
        <f aca="false">IF(COUNT(C14:E14)=0,"Tidak tercapai",MIN(C14:E14))</f>
        <v>1.96923076923077</v>
      </c>
    </row>
    <row r="18" customFormat="false" ht="15" hidden="false" customHeight="false" outlineLevel="0" collapsed="false">
      <c r="A18" s="4" t="s">
        <v>161</v>
      </c>
      <c r="B18" s="25" t="n">
        <f aca="false">MIN(B12:E12)</f>
        <v>-630</v>
      </c>
    </row>
    <row r="20" customFormat="false" ht="15" hidden="false" customHeight="false" outlineLevel="0" collapsed="false">
      <c r="A20" s="3" t="s">
        <v>276</v>
      </c>
    </row>
    <row r="21" customFormat="false" ht="15" hidden="false" customHeight="false" outlineLevel="0" collapsed="false">
      <c r="Q21" s="35" t="n">
        <v>0</v>
      </c>
      <c r="R21" s="35" t="n">
        <v>1</v>
      </c>
      <c r="S21" s="35" t="n">
        <v>2</v>
      </c>
    </row>
    <row r="22" customFormat="false" ht="23.85" hidden="false" customHeight="false" outlineLevel="0" collapsed="false">
      <c r="A22" s="9" t="s">
        <v>193</v>
      </c>
      <c r="B22" s="9" t="s">
        <v>277</v>
      </c>
      <c r="C22" s="9" t="s">
        <v>195</v>
      </c>
      <c r="D22" s="9" t="s">
        <v>278</v>
      </c>
      <c r="E22" s="9" t="s">
        <v>201</v>
      </c>
      <c r="F22" s="9" t="s">
        <v>202</v>
      </c>
      <c r="G22" s="9" t="s">
        <v>203</v>
      </c>
      <c r="H22" s="9" t="s">
        <v>204</v>
      </c>
      <c r="I22" s="9" t="s">
        <v>207</v>
      </c>
      <c r="J22" s="9" t="s">
        <v>209</v>
      </c>
      <c r="K22" s="9" t="s">
        <v>210</v>
      </c>
      <c r="L22" s="9" t="s">
        <v>212</v>
      </c>
      <c r="M22" s="9" t="s">
        <v>213</v>
      </c>
      <c r="N22" s="9" t="s">
        <v>214</v>
      </c>
      <c r="O22" s="9" t="s">
        <v>215</v>
      </c>
      <c r="P22" s="9" t="s">
        <v>218</v>
      </c>
      <c r="Q22" s="9" t="s">
        <v>219</v>
      </c>
      <c r="R22" s="9" t="s">
        <v>220</v>
      </c>
    </row>
    <row r="23" customFormat="false" ht="15" hidden="false" customHeight="false" outlineLevel="0" collapsed="false">
      <c r="A23" s="3" t="s">
        <v>279</v>
      </c>
      <c r="B23" s="38" t="n">
        <v>1</v>
      </c>
      <c r="C23" s="38" t="n">
        <v>1</v>
      </c>
      <c r="D23" s="38" t="n">
        <v>1</v>
      </c>
      <c r="E23" s="25" t="n">
        <f aca="false">-$B$8</f>
        <v>-580</v>
      </c>
      <c r="F23" s="25" t="n">
        <f aca="false">C$5*$B23*$D23-C$6*$C23*$D23-C$7</f>
        <v>-50</v>
      </c>
      <c r="G23" s="25" t="n">
        <f aca="false">D$5*$B23-D$6*$C23-D$7</f>
        <v>650</v>
      </c>
      <c r="H23" s="25" t="n">
        <f aca="false">E$5*$B23-E$6*$C23-E$7</f>
        <v>1800</v>
      </c>
      <c r="I23" s="32" t="n">
        <f aca="false">E23+NPV($B$9,F23:H23)</f>
        <v>1174.73760932945</v>
      </c>
      <c r="J23" s="34" t="n">
        <f aca="false">IF(COUNT(Q23:S23)=0,"Tidak tercapai",MIN(Q23:S23))</f>
        <v>1.96923076923077</v>
      </c>
      <c r="K23" s="25" t="n">
        <f aca="false">MIN(L23:O23)</f>
        <v>-630</v>
      </c>
      <c r="L23" s="42" t="n">
        <f aca="false">E23</f>
        <v>-580</v>
      </c>
      <c r="M23" s="42" t="n">
        <f aca="false">L23+F23</f>
        <v>-630</v>
      </c>
      <c r="N23" s="42" t="n">
        <f aca="false">M23+G23</f>
        <v>20</v>
      </c>
      <c r="O23" s="42" t="n">
        <f aca="false">N23+H23</f>
        <v>1820</v>
      </c>
      <c r="Q23" s="36" t="str">
        <f aca="false">IF(AND(L23&lt;0,M23&gt;=0),Q$21+(-L23)/F23,"")</f>
        <v/>
      </c>
      <c r="R23" s="36" t="n">
        <f aca="false">IF(AND(M23&lt;0,N23&gt;=0),R$21+(-M23)/G23,"")</f>
        <v>1.96923076923077</v>
      </c>
      <c r="S23" s="36" t="str">
        <f aca="false">IF(AND(N23&lt;0,O23&gt;=0),S$21+(-N23)/H23,"")</f>
        <v/>
      </c>
    </row>
    <row r="24" customFormat="false" ht="15" hidden="false" customHeight="false" outlineLevel="0" collapsed="false">
      <c r="A24" s="4" t="s">
        <v>280</v>
      </c>
      <c r="B24" s="38" t="n">
        <v>0.7</v>
      </c>
      <c r="C24" s="38" t="n">
        <v>0.7</v>
      </c>
      <c r="D24" s="38" t="n">
        <v>1</v>
      </c>
      <c r="E24" s="25" t="n">
        <f aca="false">-$B$8</f>
        <v>-580</v>
      </c>
      <c r="F24" s="25" t="n">
        <f aca="false">C$5*$B24*$D24-C$6*$C24*$D24-C$7</f>
        <v>-215</v>
      </c>
      <c r="G24" s="25" t="n">
        <f aca="false">D$5*$B24-D$6*$C24-D$7</f>
        <v>215</v>
      </c>
      <c r="H24" s="25" t="n">
        <f aca="false">E$5*$B24-E$6*$C24-E$7</f>
        <v>930</v>
      </c>
      <c r="I24" s="25" t="n">
        <f aca="false">E24+NPV($B$9,F24:H24)</f>
        <v>61.3880284256559</v>
      </c>
      <c r="J24" s="34" t="n">
        <f aca="false">IF(COUNT(Q24:S24)=0,"Tidak tercapai",MIN(Q24:S24))</f>
        <v>2.62365591397849</v>
      </c>
      <c r="K24" s="25" t="n">
        <f aca="false">MIN(L24:O24)</f>
        <v>-795</v>
      </c>
      <c r="L24" s="42" t="n">
        <f aca="false">E24</f>
        <v>-580</v>
      </c>
      <c r="M24" s="42" t="n">
        <f aca="false">L24+F24</f>
        <v>-795</v>
      </c>
      <c r="N24" s="42" t="n">
        <f aca="false">M24+G24</f>
        <v>-580</v>
      </c>
      <c r="O24" s="42" t="n">
        <f aca="false">N24+H24</f>
        <v>350</v>
      </c>
      <c r="Q24" s="36" t="str">
        <f aca="false">IF(AND(L24&lt;0,M24&gt;=0),Q$21+(-L24)/F24,"")</f>
        <v/>
      </c>
      <c r="R24" s="36" t="str">
        <f aca="false">IF(AND(M24&lt;0,N24&gt;=0),R$21+(-M24)/G24,"")</f>
        <v/>
      </c>
      <c r="S24" s="36" t="n">
        <f aca="false">IF(AND(N24&lt;0,O24&gt;=0),S$21+(-N24)/H24,"")</f>
        <v>2.62365591397849</v>
      </c>
    </row>
    <row r="25" customFormat="false" ht="15" hidden="false" customHeight="false" outlineLevel="0" collapsed="false">
      <c r="A25" s="4" t="s">
        <v>258</v>
      </c>
      <c r="B25" s="38" t="n">
        <v>0.8</v>
      </c>
      <c r="C25" s="38" t="n">
        <v>1</v>
      </c>
      <c r="D25" s="38" t="n">
        <v>1</v>
      </c>
      <c r="E25" s="25" t="n">
        <f aca="false">-$B$8</f>
        <v>-580</v>
      </c>
      <c r="F25" s="25" t="n">
        <f aca="false">C$5*$B25*$D25-C$6*$C25*$D25-C$7</f>
        <v>-230</v>
      </c>
      <c r="G25" s="25" t="n">
        <f aca="false">D$5*$B25-D$6*$C25-D$7</f>
        <v>170</v>
      </c>
      <c r="H25" s="25" t="n">
        <f aca="false">E$5*$B25-E$6*$C25-E$7</f>
        <v>840</v>
      </c>
      <c r="I25" s="25" t="n">
        <f aca="false">E25+NPV($B$9,F25:H25)</f>
        <v>-51.9387755102042</v>
      </c>
      <c r="J25" s="34" t="n">
        <f aca="false">IF(COUNT(Q25:S25)=0,"Tidak tercapai",MIN(Q25:S25))</f>
        <v>2.76190476190476</v>
      </c>
      <c r="K25" s="25" t="n">
        <f aca="false">MIN(L25:O25)</f>
        <v>-810</v>
      </c>
      <c r="L25" s="42" t="n">
        <f aca="false">E25</f>
        <v>-580</v>
      </c>
      <c r="M25" s="42" t="n">
        <f aca="false">L25+F25</f>
        <v>-810</v>
      </c>
      <c r="N25" s="42" t="n">
        <f aca="false">M25+G25</f>
        <v>-640</v>
      </c>
      <c r="O25" s="42" t="n">
        <f aca="false">N25+H25</f>
        <v>200</v>
      </c>
      <c r="Q25" s="36" t="str">
        <f aca="false">IF(AND(L25&lt;0,M25&gt;=0),Q$21+(-L25)/F25,"")</f>
        <v/>
      </c>
      <c r="R25" s="36" t="str">
        <f aca="false">IF(AND(M25&lt;0,N25&gt;=0),R$21+(-M25)/G25,"")</f>
        <v/>
      </c>
      <c r="S25" s="36" t="n">
        <f aca="false">IF(AND(N25&lt;0,O25&gt;=0),S$21+(-N25)/H25,"")</f>
        <v>2.76190476190476</v>
      </c>
    </row>
    <row r="26" customFormat="false" ht="15" hidden="false" customHeight="false" outlineLevel="0" collapsed="false">
      <c r="A26" s="4" t="s">
        <v>281</v>
      </c>
      <c r="B26" s="38" t="n">
        <v>1</v>
      </c>
      <c r="C26" s="38" t="n">
        <v>1</v>
      </c>
      <c r="D26" s="38" t="n">
        <v>0.5</v>
      </c>
      <c r="E26" s="25" t="n">
        <f aca="false">-$B$8</f>
        <v>-580</v>
      </c>
      <c r="F26" s="25" t="n">
        <f aca="false">C$5*$B26*$D26-C$6*$C26*$D26-C$7</f>
        <v>-325</v>
      </c>
      <c r="G26" s="25" t="n">
        <f aca="false">D$5*$B26-D$6*$C26-D$7</f>
        <v>650</v>
      </c>
      <c r="H26" s="25" t="n">
        <f aca="false">E$5*$B26-E$6*$C26-E$7</f>
        <v>1800</v>
      </c>
      <c r="I26" s="25" t="n">
        <f aca="false">E26+NPV($B$9,F26:H26)</f>
        <v>929.201895043731</v>
      </c>
      <c r="J26" s="34" t="n">
        <f aca="false">IF(COUNT(Q26:S26)=0,"Tidak tercapai",MIN(Q26:S26))</f>
        <v>2.14166666666667</v>
      </c>
      <c r="K26" s="25" t="n">
        <f aca="false">MIN(L26:O26)</f>
        <v>-905</v>
      </c>
      <c r="L26" s="42" t="n">
        <f aca="false">E26</f>
        <v>-580</v>
      </c>
      <c r="M26" s="42" t="n">
        <f aca="false">L26+F26</f>
        <v>-905</v>
      </c>
      <c r="N26" s="42" t="n">
        <f aca="false">M26+G26</f>
        <v>-255</v>
      </c>
      <c r="O26" s="42" t="n">
        <f aca="false">N26+H26</f>
        <v>1545</v>
      </c>
      <c r="Q26" s="36" t="str">
        <f aca="false">IF(AND(L26&lt;0,M26&gt;=0),Q$21+(-L26)/F26,"")</f>
        <v/>
      </c>
      <c r="R26" s="36" t="str">
        <f aca="false">IF(AND(M26&lt;0,N26&gt;=0),R$21+(-M26)/G26,"")</f>
        <v/>
      </c>
      <c r="S26" s="36" t="n">
        <f aca="false">IF(AND(N26&lt;0,O26&gt;=0),S$21+(-N26)/H26,"")</f>
        <v>2.14166666666667</v>
      </c>
    </row>
    <row r="27" customFormat="false" ht="15" hidden="false" customHeight="false" outlineLevel="0" collapsed="false">
      <c r="A27" s="4" t="s">
        <v>282</v>
      </c>
      <c r="B27" s="38" t="n">
        <v>1</v>
      </c>
      <c r="C27" s="38" t="n">
        <v>1.25</v>
      </c>
      <c r="D27" s="38" t="n">
        <v>1</v>
      </c>
      <c r="E27" s="25" t="n">
        <f aca="false">-$B$8</f>
        <v>-580</v>
      </c>
      <c r="F27" s="25" t="n">
        <f aca="false">C$5*$B27*$D27-C$6*$C27*$D27-C$7</f>
        <v>-137.5</v>
      </c>
      <c r="G27" s="25" t="n">
        <f aca="false">D$5*$B27-D$6*$C27-D$7</f>
        <v>412.5</v>
      </c>
      <c r="H27" s="25" t="n">
        <f aca="false">E$5*$B27-E$6*$C27-E$7</f>
        <v>1325</v>
      </c>
      <c r="I27" s="25" t="n">
        <f aca="false">E27+NPV($B$9,F27:H27)</f>
        <v>569.183445699708</v>
      </c>
      <c r="J27" s="34" t="n">
        <f aca="false">IF(COUNT(Q27:S27)=0,"Tidak tercapai",MIN(Q27:S27))</f>
        <v>2.23018867924528</v>
      </c>
      <c r="K27" s="25" t="n">
        <f aca="false">MIN(L27:O27)</f>
        <v>-717.5</v>
      </c>
      <c r="L27" s="42" t="n">
        <f aca="false">E27</f>
        <v>-580</v>
      </c>
      <c r="M27" s="42" t="n">
        <f aca="false">L27+F27</f>
        <v>-717.5</v>
      </c>
      <c r="N27" s="42" t="n">
        <f aca="false">M27+G27</f>
        <v>-305</v>
      </c>
      <c r="O27" s="42" t="n">
        <f aca="false">N27+H27</f>
        <v>1020</v>
      </c>
      <c r="Q27" s="36" t="str">
        <f aca="false">IF(AND(L27&lt;0,M27&gt;=0),Q$21+(-L27)/F27,"")</f>
        <v/>
      </c>
      <c r="R27" s="36" t="str">
        <f aca="false">IF(AND(M27&lt;0,N27&gt;=0),R$21+(-M27)/G27,"")</f>
        <v/>
      </c>
      <c r="S27" s="36" t="n">
        <f aca="false">IF(AND(N27&lt;0,O27&gt;=0),S$21+(-N27)/H27,"")</f>
        <v>2.23018867924528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LibreOffice/26.8.1.1$MacOSX_AARCH64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2026-10-26T04:08:41Z</dcterms:created>
  <dc:creator>openpyxl</dc:creator>
  <dc:description/>
  <dc:language>en-ID</dc:language>
  <cp:lastModifiedBy/>
  <dcterms:modified xsi:type="dcterms:W3CDTF">2026-10-26T04:08:41Z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